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comments9.xml" ContentType="application/vnd.openxmlformats-officedocument.spreadsheetml.comments+xml"/>
  <Override PartName="/xl/drawings/drawing13.xml" ContentType="application/vnd.openxmlformats-officedocument.drawing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comments11.xml" ContentType="application/vnd.openxmlformats-officedocument.spreadsheetml.comments+xml"/>
  <Override PartName="/xl/drawings/drawing15.xml" ContentType="application/vnd.openxmlformats-officedocument.drawing+xml"/>
  <Override PartName="/xl/comments12.xml" ContentType="application/vnd.openxmlformats-officedocument.spreadsheetml.comments+xml"/>
  <Override PartName="/xl/drawings/drawing16.xml" ContentType="application/vnd.openxmlformats-officedocument.drawing+xml"/>
  <Override PartName="/xl/comments13.xml" ContentType="application/vnd.openxmlformats-officedocument.spreadsheetml.comments+xml"/>
  <Override PartName="/xl/drawings/drawing17.xml" ContentType="application/vnd.openxmlformats-officedocument.drawing+xml"/>
  <Override PartName="/xl/comments14.xml" ContentType="application/vnd.openxmlformats-officedocument.spreadsheetml.comments+xml"/>
  <Override PartName="/xl/drawings/drawing18.xml" ContentType="application/vnd.openxmlformats-officedocument.drawing+xml"/>
  <Override PartName="/xl/comments15.xml" ContentType="application/vnd.openxmlformats-officedocument.spreadsheetml.comments+xml"/>
  <Override PartName="/xl/drawings/drawing19.xml" ContentType="application/vnd.openxmlformats-officedocument.drawing+xml"/>
  <Override PartName="/xl/comments16.xml" ContentType="application/vnd.openxmlformats-officedocument.spreadsheetml.comments+xml"/>
  <Override PartName="/xl/drawings/drawing20.xml" ContentType="application/vnd.openxmlformats-officedocument.drawing+xml"/>
  <Override PartName="/xl/comments17.xml" ContentType="application/vnd.openxmlformats-officedocument.spreadsheetml.comments+xml"/>
  <Override PartName="/xl/drawings/drawing21.xml" ContentType="application/vnd.openxmlformats-officedocument.drawing+xml"/>
  <Override PartName="/xl/comments18.xml" ContentType="application/vnd.openxmlformats-officedocument.spreadsheetml.comments+xml"/>
  <Override PartName="/xl/drawings/drawing22.xml" ContentType="application/vnd.openxmlformats-officedocument.drawing+xml"/>
  <Override PartName="/xl/comments19.xml" ContentType="application/vnd.openxmlformats-officedocument.spreadsheetml.comments+xml"/>
  <Override PartName="/xl/drawings/drawing23.xml" ContentType="application/vnd.openxmlformats-officedocument.drawing+xml"/>
  <Override PartName="/xl/comments20.xml" ContentType="application/vnd.openxmlformats-officedocument.spreadsheetml.comments+xml"/>
  <Override PartName="/xl/drawings/drawing24.xml" ContentType="application/vnd.openxmlformats-officedocument.drawing+xml"/>
  <Override PartName="/xl/comments21.xml" ContentType="application/vnd.openxmlformats-officedocument.spreadsheetml.comments+xml"/>
  <Override PartName="/xl/drawings/drawing25.xml" ContentType="application/vnd.openxmlformats-officedocument.drawing+xml"/>
  <Override PartName="/xl/comments22.xml" ContentType="application/vnd.openxmlformats-officedocument.spreadsheetml.comments+xml"/>
  <Override PartName="/xl/drawings/drawing26.xml" ContentType="application/vnd.openxmlformats-officedocument.drawing+xml"/>
  <Override PartName="/xl/comments23.xml" ContentType="application/vnd.openxmlformats-officedocument.spreadsheetml.comments+xml"/>
  <Override PartName="/xl/drawings/drawing27.xml" ContentType="application/vnd.openxmlformats-officedocument.drawing+xml"/>
  <Override PartName="/xl/comments24.xml" ContentType="application/vnd.openxmlformats-officedocument.spreadsheetml.comments+xml"/>
  <Override PartName="/xl/drawings/drawing28.xml" ContentType="application/vnd.openxmlformats-officedocument.drawing+xml"/>
  <Override PartName="/xl/comments25.xml" ContentType="application/vnd.openxmlformats-officedocument.spreadsheetml.comments+xml"/>
  <Override PartName="/xl/drawings/drawing29.xml" ContentType="application/vnd.openxmlformats-officedocument.drawing+xml"/>
  <Override PartName="/xl/comments26.xml" ContentType="application/vnd.openxmlformats-officedocument.spreadsheetml.comments+xml"/>
  <Override PartName="/xl/drawings/drawing30.xml" ContentType="application/vnd.openxmlformats-officedocument.drawing+xml"/>
  <Override PartName="/xl/comments27.xml" ContentType="application/vnd.openxmlformats-officedocument.spreadsheetml.comments+xml"/>
  <Override PartName="/xl/drawings/drawing31.xml" ContentType="application/vnd.openxmlformats-officedocument.drawing+xml"/>
  <Override PartName="/xl/comments28.xml" ContentType="application/vnd.openxmlformats-officedocument.spreadsheetml.comments+xml"/>
  <Override PartName="/xl/drawings/drawing32.xml" ContentType="application/vnd.openxmlformats-officedocument.drawing+xml"/>
  <Override PartName="/xl/comments29.xml" ContentType="application/vnd.openxmlformats-officedocument.spreadsheetml.comments+xml"/>
  <Override PartName="/xl/drawings/drawing33.xml" ContentType="application/vnd.openxmlformats-officedocument.drawing+xml"/>
  <Override PartName="/xl/comments3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ffwaad-my.sharepoint.com/personal/jhernandez_lyon-rhone_fff_fr/Documents/TECHNIQUE/2020-2021/TOURNOIS/"/>
    </mc:Choice>
  </mc:AlternateContent>
  <xr:revisionPtr revIDLastSave="12" documentId="11_3CD4F07A9E77A2162E4F6A6378D32CAAFF5E1011" xr6:coauthVersionLast="46" xr6:coauthVersionMax="46" xr10:uidLastSave="{A429114A-75C3-4EFB-9993-6A3EB7A04BA5}"/>
  <bookViews>
    <workbookView xWindow="-120" yWindow="-120" windowWidth="29040" windowHeight="15840" tabRatio="877" xr2:uid="{00000000-000D-0000-FFFF-FFFF00000000}"/>
  </bookViews>
  <sheets>
    <sheet name="Organisation" sheetId="21" r:id="rId1"/>
    <sheet name="CC Futsal" sheetId="25" r:id="rId2"/>
    <sheet name="CC Ext" sheetId="24" r:id="rId3"/>
    <sheet name="8 Equipes - Eliminatoire" sheetId="13" r:id="rId4"/>
    <sheet name="16 Equipes - Eliminatoire" sheetId="10" r:id="rId5"/>
    <sheet name="U11 U13 - 8 Equipes" sheetId="5" r:id="rId6"/>
    <sheet name="U11 U13 - 10 Equipes" sheetId="26" r:id="rId7"/>
    <sheet name="U11 U13 - 12 Equipes" sheetId="8" r:id="rId8"/>
    <sheet name="U11 U13 - 16 Equipes" sheetId="9" r:id="rId9"/>
    <sheet name="U9 - 8 Equipes" sheetId="18" r:id="rId10"/>
    <sheet name="U9 - 10 Equipes" sheetId="27" r:id="rId11"/>
    <sheet name="U9 - 12 Equipes" sheetId="14" r:id="rId12"/>
    <sheet name="U7-U9 - 8 Equipes" sheetId="22" r:id="rId13"/>
    <sheet name="U7-U9 - 10 Equipes" sheetId="28" r:id="rId14"/>
    <sheet name="U7-U9 - 12 Equipes" sheetId="23" r:id="rId15"/>
    <sheet name="U7-U9 - 16 Equipes" sheetId="19" r:id="rId16"/>
    <sheet name="U7-U9 - 24 Equipes" sheetId="20" r:id="rId17"/>
    <sheet name="U9 - 16 Equipes" sheetId="29" r:id="rId18"/>
    <sheet name="8 Eq - Eliminatoire" sheetId="30" r:id="rId19"/>
    <sheet name="8Eq - U11 U13" sheetId="31" r:id="rId20"/>
    <sheet name="12 Eq - U11" sheetId="32" r:id="rId21"/>
    <sheet name="16 Eq - U13" sheetId="33" r:id="rId22"/>
    <sheet name="16 Eq - U11" sheetId="34" r:id="rId23"/>
    <sheet name="16 Eq - U9" sheetId="35" r:id="rId24"/>
    <sheet name="16 Eq - U7" sheetId="36" r:id="rId25"/>
    <sheet name="24 Eq - U13" sheetId="49" r:id="rId26"/>
    <sheet name="24 Eq - U9" sheetId="39" r:id="rId27"/>
    <sheet name="24 Eq - U7" sheetId="37" r:id="rId28"/>
    <sheet name="32 Eq - U13" sheetId="45" r:id="rId29"/>
    <sheet name="32 Eq - U11" sheetId="41" r:id="rId30"/>
    <sheet name="32 Eq - U9" sheetId="42" r:id="rId31"/>
    <sheet name="32 Eq - U9 (4t)" sheetId="48" r:id="rId32"/>
    <sheet name="32 Eq - U7" sheetId="43" r:id="rId33"/>
  </sheets>
  <definedNames>
    <definedName name="TOURNOI_FUTSAL_A_8_EQUIPES___A_PARTIR_DE_U13">'8 Equipes - Eliminatoire'!$A$1</definedName>
    <definedName name="_xlnm.Print_Area" localSheetId="20">'12 Eq - U11'!$A$1:$W$42</definedName>
    <definedName name="_xlnm.Print_Area" localSheetId="22">'16 Eq - U11'!$A$1:$W$61</definedName>
    <definedName name="_xlnm.Print_Area" localSheetId="21">'16 Eq - U13'!$A$1:$W$56</definedName>
    <definedName name="_xlnm.Print_Area" localSheetId="24">'16 Eq - U7'!$A$1:$W$47</definedName>
    <definedName name="_xlnm.Print_Area" localSheetId="23">'16 Eq - U9'!$A$1:$W$61</definedName>
    <definedName name="_xlnm.Print_Area" localSheetId="4">'16 Equipes - Eliminatoire'!$A$1:$W$55</definedName>
    <definedName name="_xlnm.Print_Area" localSheetId="25">'24 Eq - U13'!$A$1:$AJ$77</definedName>
    <definedName name="_xlnm.Print_Area" localSheetId="27">'24 Eq - U7'!$A$1:$Y$44</definedName>
    <definedName name="_xlnm.Print_Area" localSheetId="26">'24 Eq - U9'!$A$1:$AJ$59</definedName>
    <definedName name="_xlnm.Print_Area" localSheetId="29">'32 Eq - U11'!$A$1:$W$131</definedName>
    <definedName name="_xlnm.Print_Area" localSheetId="28">'32 Eq - U13'!$A$1:$X$112</definedName>
    <definedName name="_xlnm.Print_Area" localSheetId="32">'32 Eq - U7'!$A$1:$W$99</definedName>
    <definedName name="_xlnm.Print_Area" localSheetId="30">'32 Eq - U9'!$A$1:$W$100</definedName>
    <definedName name="_xlnm.Print_Area" localSheetId="31">'32 Eq - U9 (4t)'!$A$1:$W$99</definedName>
    <definedName name="_xlnm.Print_Area" localSheetId="18">'8 Eq - Eliminatoire'!$A$1:$W$33</definedName>
    <definedName name="_xlnm.Print_Area" localSheetId="3">'8 Equipes - Eliminatoire'!$A$1:$W$33</definedName>
    <definedName name="_xlnm.Print_Area" localSheetId="19">'8Eq - U11 U13'!$A$1:$W$38</definedName>
    <definedName name="_xlnm.Print_Area" localSheetId="2">'CC Ext'!$A$1:$E$14</definedName>
    <definedName name="_xlnm.Print_Area" localSheetId="1">'CC Futsal'!$A$1:$E$13</definedName>
    <definedName name="_xlnm.Print_Area" localSheetId="0">Organisation!$A$1:$G$34</definedName>
    <definedName name="_xlnm.Print_Area" localSheetId="6">'U11 U13 - 10 Equipes'!$A$1:$W$49</definedName>
    <definedName name="_xlnm.Print_Area" localSheetId="7">'U11 U13 - 12 Equipes'!$A$1:$W$42</definedName>
    <definedName name="_xlnm.Print_Area" localSheetId="8">'U11 U13 - 16 Equipes'!$A$1:$W$59</definedName>
    <definedName name="_xlnm.Print_Area" localSheetId="5">'U11 U13 - 8 Equipes'!$A$1:$W$38</definedName>
    <definedName name="_xlnm.Print_Area" localSheetId="13">'U7-U9 - 10 Equipes'!$A$1:$W$35</definedName>
    <definedName name="_xlnm.Print_Area" localSheetId="14">'U7-U9 - 12 Equipes'!$A$1:$W$40</definedName>
    <definedName name="_xlnm.Print_Area" localSheetId="15">'U7-U9 - 16 Equipes'!$A$1:$W$47</definedName>
    <definedName name="_xlnm.Print_Area" localSheetId="16">'U7-U9 - 24 Equipes'!$A$1:$W$46</definedName>
    <definedName name="_xlnm.Print_Area" localSheetId="12">'U7-U9 - 8 Equipes'!$A$1:$W$26</definedName>
    <definedName name="_xlnm.Print_Area" localSheetId="10">'U9 - 10 Equipes'!$A$1:$W$34</definedName>
    <definedName name="_xlnm.Print_Area" localSheetId="11">'U9 - 12 Equipes'!$A$1:$K$43</definedName>
    <definedName name="_xlnm.Print_Area" localSheetId="17">'U9 - 16 Equipes'!$A$1:$W$59</definedName>
    <definedName name="_xlnm.Print_Area" localSheetId="9">'U9 - 8 Equipes'!$A$1:$W$27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1" l="1"/>
  <c r="T86" i="43"/>
  <c r="T85" i="43"/>
  <c r="T84" i="43"/>
  <c r="T83" i="43"/>
  <c r="T184" i="43" s="1"/>
  <c r="N86" i="43"/>
  <c r="N85" i="43"/>
  <c r="N84" i="43"/>
  <c r="N83" i="43"/>
  <c r="H86" i="43"/>
  <c r="H85" i="43"/>
  <c r="H84" i="43"/>
  <c r="H98" i="43" s="1"/>
  <c r="H83" i="43"/>
  <c r="H184" i="43" s="1"/>
  <c r="H64" i="43"/>
  <c r="B86" i="43"/>
  <c r="B85" i="43"/>
  <c r="C93" i="43" s="1"/>
  <c r="B84" i="43"/>
  <c r="B83" i="43"/>
  <c r="T67" i="43"/>
  <c r="T161" i="43" s="1"/>
  <c r="T66" i="43"/>
  <c r="T65" i="43"/>
  <c r="T64" i="43"/>
  <c r="N67" i="43"/>
  <c r="N66" i="43"/>
  <c r="N160" i="43" s="1"/>
  <c r="N65" i="43"/>
  <c r="N159" i="43" s="1"/>
  <c r="N64" i="43"/>
  <c r="N158" i="43" s="1"/>
  <c r="H67" i="43"/>
  <c r="H66" i="43"/>
  <c r="H71" i="43" s="1"/>
  <c r="H65" i="43"/>
  <c r="H79" i="43" s="1"/>
  <c r="B67" i="43"/>
  <c r="B161" i="43" s="1"/>
  <c r="B66" i="43"/>
  <c r="B65" i="43"/>
  <c r="B64" i="43"/>
  <c r="T198" i="43"/>
  <c r="S198" i="43"/>
  <c r="N198" i="43"/>
  <c r="M198" i="43"/>
  <c r="H198" i="43"/>
  <c r="G198" i="43"/>
  <c r="B198" i="43"/>
  <c r="A198" i="43"/>
  <c r="T197" i="43"/>
  <c r="S197" i="43"/>
  <c r="N197" i="43"/>
  <c r="M197" i="43"/>
  <c r="H197" i="43"/>
  <c r="G197" i="43"/>
  <c r="B197" i="43"/>
  <c r="A197" i="43"/>
  <c r="T194" i="43"/>
  <c r="S194" i="43"/>
  <c r="N194" i="43"/>
  <c r="M194" i="43"/>
  <c r="P185" i="43" s="1"/>
  <c r="M185" i="43" s="1"/>
  <c r="H194" i="43"/>
  <c r="G194" i="43"/>
  <c r="B194" i="43"/>
  <c r="A194" i="43"/>
  <c r="D185" i="43" s="1"/>
  <c r="T193" i="43"/>
  <c r="S193" i="43"/>
  <c r="N193" i="43"/>
  <c r="M193" i="43"/>
  <c r="H193" i="43"/>
  <c r="G193" i="43"/>
  <c r="B193" i="43"/>
  <c r="A193" i="43"/>
  <c r="T190" i="43"/>
  <c r="S190" i="43"/>
  <c r="N190" i="43"/>
  <c r="M190" i="43"/>
  <c r="P186" i="43" s="1"/>
  <c r="H190" i="43"/>
  <c r="G190" i="43"/>
  <c r="B190" i="43"/>
  <c r="A190" i="43"/>
  <c r="D186" i="43" s="1"/>
  <c r="T189" i="43"/>
  <c r="S189" i="43"/>
  <c r="N189" i="43"/>
  <c r="M189" i="43"/>
  <c r="P184" i="43" s="1"/>
  <c r="M184" i="43" s="1"/>
  <c r="H189" i="43"/>
  <c r="G189" i="43"/>
  <c r="B189" i="43"/>
  <c r="A189" i="43"/>
  <c r="D184" i="43" s="1"/>
  <c r="U187" i="43"/>
  <c r="O187" i="43"/>
  <c r="I187" i="43"/>
  <c r="C187" i="43"/>
  <c r="U186" i="43"/>
  <c r="O186" i="43"/>
  <c r="M186" i="43"/>
  <c r="I186" i="43"/>
  <c r="C186" i="43"/>
  <c r="U185" i="43"/>
  <c r="O185" i="43"/>
  <c r="I185" i="43"/>
  <c r="C185" i="43"/>
  <c r="U184" i="43"/>
  <c r="O184" i="43"/>
  <c r="I184" i="43"/>
  <c r="C184" i="43"/>
  <c r="T172" i="43"/>
  <c r="S172" i="43"/>
  <c r="N172" i="43"/>
  <c r="M172" i="43"/>
  <c r="H172" i="43"/>
  <c r="G172" i="43"/>
  <c r="B172" i="43"/>
  <c r="A172" i="43"/>
  <c r="T171" i="43"/>
  <c r="S171" i="43"/>
  <c r="N171" i="43"/>
  <c r="M171" i="43"/>
  <c r="H171" i="43"/>
  <c r="G171" i="43"/>
  <c r="B171" i="43"/>
  <c r="A171" i="43"/>
  <c r="T168" i="43"/>
  <c r="S168" i="43"/>
  <c r="N168" i="43"/>
  <c r="M168" i="43"/>
  <c r="P159" i="43" s="1"/>
  <c r="H168" i="43"/>
  <c r="G168" i="43"/>
  <c r="B168" i="43"/>
  <c r="A168" i="43"/>
  <c r="D159" i="43" s="1"/>
  <c r="T167" i="43"/>
  <c r="S167" i="43"/>
  <c r="N167" i="43"/>
  <c r="M167" i="43"/>
  <c r="H167" i="43"/>
  <c r="G167" i="43"/>
  <c r="B167" i="43"/>
  <c r="A167" i="43"/>
  <c r="T164" i="43"/>
  <c r="S164" i="43"/>
  <c r="N164" i="43"/>
  <c r="M164" i="43"/>
  <c r="P160" i="43" s="1"/>
  <c r="H164" i="43"/>
  <c r="G164" i="43"/>
  <c r="B164" i="43"/>
  <c r="A164" i="43"/>
  <c r="D160" i="43" s="1"/>
  <c r="T163" i="43"/>
  <c r="S163" i="43"/>
  <c r="N163" i="43"/>
  <c r="M163" i="43"/>
  <c r="P158" i="43" s="1"/>
  <c r="H163" i="43"/>
  <c r="G163" i="43"/>
  <c r="B163" i="43"/>
  <c r="A163" i="43"/>
  <c r="D158" i="43" s="1"/>
  <c r="U161" i="43"/>
  <c r="O161" i="43"/>
  <c r="I161" i="43"/>
  <c r="C161" i="43"/>
  <c r="U160" i="43"/>
  <c r="O160" i="43"/>
  <c r="I160" i="43"/>
  <c r="C160" i="43"/>
  <c r="U159" i="43"/>
  <c r="O159" i="43"/>
  <c r="I159" i="43"/>
  <c r="C159" i="43"/>
  <c r="U158" i="43"/>
  <c r="O158" i="43"/>
  <c r="I158" i="43"/>
  <c r="C158" i="43"/>
  <c r="T143" i="43"/>
  <c r="S143" i="43"/>
  <c r="N143" i="43"/>
  <c r="M143" i="43"/>
  <c r="H143" i="43"/>
  <c r="G143" i="43"/>
  <c r="B143" i="43"/>
  <c r="A143" i="43"/>
  <c r="T142" i="43"/>
  <c r="S142" i="43"/>
  <c r="N142" i="43"/>
  <c r="M142" i="43"/>
  <c r="H142" i="43"/>
  <c r="G142" i="43"/>
  <c r="B142" i="43"/>
  <c r="A142" i="43"/>
  <c r="T139" i="43"/>
  <c r="S139" i="43"/>
  <c r="N139" i="43"/>
  <c r="M139" i="43"/>
  <c r="P130" i="43" s="1"/>
  <c r="H139" i="43"/>
  <c r="G139" i="43"/>
  <c r="B139" i="43"/>
  <c r="A139" i="43"/>
  <c r="D130" i="43" s="1"/>
  <c r="T138" i="43"/>
  <c r="S138" i="43"/>
  <c r="N138" i="43"/>
  <c r="M138" i="43"/>
  <c r="H138" i="43"/>
  <c r="G138" i="43"/>
  <c r="B138" i="43"/>
  <c r="A138" i="43"/>
  <c r="T135" i="43"/>
  <c r="S135" i="43"/>
  <c r="N135" i="43"/>
  <c r="M135" i="43"/>
  <c r="P131" i="43" s="1"/>
  <c r="H135" i="43"/>
  <c r="G135" i="43"/>
  <c r="B135" i="43"/>
  <c r="A135" i="43"/>
  <c r="D131" i="43" s="1"/>
  <c r="T134" i="43"/>
  <c r="S134" i="43"/>
  <c r="N134" i="43"/>
  <c r="M134" i="43"/>
  <c r="P129" i="43" s="1"/>
  <c r="H134" i="43"/>
  <c r="G134" i="43"/>
  <c r="B134" i="43"/>
  <c r="A134" i="43"/>
  <c r="D129" i="43" s="1"/>
  <c r="U132" i="43"/>
  <c r="T132" i="43"/>
  <c r="O132" i="43"/>
  <c r="N132" i="43"/>
  <c r="I132" i="43"/>
  <c r="H132" i="43"/>
  <c r="C132" i="43"/>
  <c r="B132" i="43"/>
  <c r="U131" i="43"/>
  <c r="T131" i="43"/>
  <c r="O131" i="43"/>
  <c r="N131" i="43"/>
  <c r="I131" i="43"/>
  <c r="H131" i="43"/>
  <c r="C131" i="43"/>
  <c r="B131" i="43"/>
  <c r="U130" i="43"/>
  <c r="T130" i="43"/>
  <c r="O130" i="43"/>
  <c r="N130" i="43"/>
  <c r="I130" i="43"/>
  <c r="H130" i="43"/>
  <c r="C130" i="43"/>
  <c r="B130" i="43"/>
  <c r="U129" i="43"/>
  <c r="T129" i="43"/>
  <c r="O129" i="43"/>
  <c r="N129" i="43"/>
  <c r="I129" i="43"/>
  <c r="H129" i="43"/>
  <c r="C129" i="43"/>
  <c r="B129" i="43"/>
  <c r="T117" i="43"/>
  <c r="S117" i="43"/>
  <c r="N117" i="43"/>
  <c r="M117" i="43"/>
  <c r="H117" i="43"/>
  <c r="G117" i="43"/>
  <c r="B117" i="43"/>
  <c r="A117" i="43"/>
  <c r="T116" i="43"/>
  <c r="S116" i="43"/>
  <c r="N116" i="43"/>
  <c r="M116" i="43"/>
  <c r="H116" i="43"/>
  <c r="G116" i="43"/>
  <c r="B116" i="43"/>
  <c r="A116" i="43"/>
  <c r="T113" i="43"/>
  <c r="S113" i="43"/>
  <c r="N113" i="43"/>
  <c r="M113" i="43"/>
  <c r="P104" i="43" s="1"/>
  <c r="H113" i="43"/>
  <c r="G113" i="43"/>
  <c r="B113" i="43"/>
  <c r="A113" i="43"/>
  <c r="T112" i="43"/>
  <c r="S112" i="43"/>
  <c r="N112" i="43"/>
  <c r="M112" i="43"/>
  <c r="H112" i="43"/>
  <c r="G112" i="43"/>
  <c r="B112" i="43"/>
  <c r="A112" i="43"/>
  <c r="T109" i="43"/>
  <c r="S109" i="43"/>
  <c r="N109" i="43"/>
  <c r="M109" i="43"/>
  <c r="P105" i="43" s="1"/>
  <c r="H109" i="43"/>
  <c r="G109" i="43"/>
  <c r="B109" i="43"/>
  <c r="A109" i="43"/>
  <c r="T108" i="43"/>
  <c r="S108" i="43"/>
  <c r="N108" i="43"/>
  <c r="M108" i="43"/>
  <c r="P103" i="43" s="1"/>
  <c r="H108" i="43"/>
  <c r="G108" i="43"/>
  <c r="B108" i="43"/>
  <c r="A108" i="43"/>
  <c r="U106" i="43"/>
  <c r="T106" i="43"/>
  <c r="O106" i="43"/>
  <c r="N106" i="43"/>
  <c r="I106" i="43"/>
  <c r="H106" i="43"/>
  <c r="C106" i="43"/>
  <c r="B106" i="43"/>
  <c r="U105" i="43"/>
  <c r="T105" i="43"/>
  <c r="O105" i="43"/>
  <c r="N105" i="43"/>
  <c r="I105" i="43"/>
  <c r="H105" i="43"/>
  <c r="C105" i="43"/>
  <c r="B105" i="43"/>
  <c r="U104" i="43"/>
  <c r="T104" i="43"/>
  <c r="O104" i="43"/>
  <c r="N104" i="43"/>
  <c r="I104" i="43"/>
  <c r="H104" i="43"/>
  <c r="C104" i="43"/>
  <c r="B104" i="43"/>
  <c r="U103" i="43"/>
  <c r="T103" i="43"/>
  <c r="O103" i="43"/>
  <c r="N103" i="43"/>
  <c r="I103" i="43"/>
  <c r="H103" i="43"/>
  <c r="C103" i="43"/>
  <c r="B103" i="43"/>
  <c r="V187" i="43"/>
  <c r="P187" i="43"/>
  <c r="M187" i="43" s="1"/>
  <c r="N187" i="43"/>
  <c r="J187" i="43"/>
  <c r="D187" i="43"/>
  <c r="A184" i="43" s="1"/>
  <c r="B187" i="43"/>
  <c r="V186" i="43"/>
  <c r="O93" i="43"/>
  <c r="J186" i="43"/>
  <c r="H90" i="43"/>
  <c r="V185" i="43"/>
  <c r="O89" i="43"/>
  <c r="J185" i="43"/>
  <c r="V184" i="43"/>
  <c r="J184" i="43"/>
  <c r="V161" i="43"/>
  <c r="P161" i="43"/>
  <c r="N161" i="43"/>
  <c r="J161" i="43"/>
  <c r="D161" i="43"/>
  <c r="V160" i="43"/>
  <c r="T160" i="43"/>
  <c r="J160" i="43"/>
  <c r="V159" i="43"/>
  <c r="T159" i="43"/>
  <c r="J159" i="43"/>
  <c r="V158" i="43"/>
  <c r="T158" i="43"/>
  <c r="J158" i="43"/>
  <c r="H158" i="43"/>
  <c r="U50" i="43"/>
  <c r="T50" i="43"/>
  <c r="O50" i="43"/>
  <c r="N50" i="43"/>
  <c r="I50" i="43"/>
  <c r="H50" i="43"/>
  <c r="C50" i="43"/>
  <c r="B50" i="43"/>
  <c r="U49" i="43"/>
  <c r="T49" i="43"/>
  <c r="O49" i="43"/>
  <c r="N49" i="43"/>
  <c r="I49" i="43"/>
  <c r="H49" i="43"/>
  <c r="C49" i="43"/>
  <c r="B49" i="43"/>
  <c r="U46" i="43"/>
  <c r="T46" i="43"/>
  <c r="O46" i="43"/>
  <c r="N46" i="43"/>
  <c r="I46" i="43"/>
  <c r="H46" i="43"/>
  <c r="C46" i="43"/>
  <c r="B46" i="43"/>
  <c r="U45" i="43"/>
  <c r="T45" i="43"/>
  <c r="O45" i="43"/>
  <c r="N45" i="43"/>
  <c r="I45" i="43"/>
  <c r="H45" i="43"/>
  <c r="C45" i="43"/>
  <c r="B45" i="43"/>
  <c r="U42" i="43"/>
  <c r="T42" i="43"/>
  <c r="O42" i="43"/>
  <c r="N42" i="43"/>
  <c r="I42" i="43"/>
  <c r="H42" i="43"/>
  <c r="C42" i="43"/>
  <c r="B42" i="43"/>
  <c r="U41" i="43"/>
  <c r="T41" i="43"/>
  <c r="O41" i="43"/>
  <c r="N41" i="43"/>
  <c r="M41" i="43"/>
  <c r="M42" i="43" s="1"/>
  <c r="I41" i="43"/>
  <c r="H41" i="43"/>
  <c r="C41" i="43"/>
  <c r="B41" i="43"/>
  <c r="A41" i="43"/>
  <c r="A42" i="43" s="1"/>
  <c r="V132" i="43"/>
  <c r="P132" i="43"/>
  <c r="J132" i="43"/>
  <c r="D132" i="43"/>
  <c r="V131" i="43"/>
  <c r="J131" i="43"/>
  <c r="V130" i="43"/>
  <c r="J130" i="43"/>
  <c r="V129" i="43"/>
  <c r="J129" i="43"/>
  <c r="U24" i="43"/>
  <c r="T24" i="43"/>
  <c r="O24" i="43"/>
  <c r="N24" i="43"/>
  <c r="I24" i="43"/>
  <c r="H24" i="43"/>
  <c r="C24" i="43"/>
  <c r="B24" i="43"/>
  <c r="U23" i="43"/>
  <c r="T23" i="43"/>
  <c r="O23" i="43"/>
  <c r="N23" i="43"/>
  <c r="I23" i="43"/>
  <c r="H23" i="43"/>
  <c r="C23" i="43"/>
  <c r="B23" i="43"/>
  <c r="U20" i="43"/>
  <c r="T20" i="43"/>
  <c r="O20" i="43"/>
  <c r="N20" i="43"/>
  <c r="I20" i="43"/>
  <c r="H20" i="43"/>
  <c r="C20" i="43"/>
  <c r="B20" i="43"/>
  <c r="U19" i="43"/>
  <c r="T19" i="43"/>
  <c r="O19" i="43"/>
  <c r="N19" i="43"/>
  <c r="I19" i="43"/>
  <c r="H19" i="43"/>
  <c r="C19" i="43"/>
  <c r="B19" i="43"/>
  <c r="U16" i="43"/>
  <c r="T16" i="43"/>
  <c r="O16" i="43"/>
  <c r="N16" i="43"/>
  <c r="I16" i="43"/>
  <c r="H16" i="43"/>
  <c r="C16" i="43"/>
  <c r="B16" i="43"/>
  <c r="U15" i="43"/>
  <c r="T15" i="43"/>
  <c r="O15" i="43"/>
  <c r="N15" i="43"/>
  <c r="M15" i="43"/>
  <c r="M16" i="43" s="1"/>
  <c r="I15" i="43"/>
  <c r="H15" i="43"/>
  <c r="C15" i="43"/>
  <c r="B15" i="43"/>
  <c r="A15" i="43"/>
  <c r="A16" i="43" s="1"/>
  <c r="G16" i="43" s="1"/>
  <c r="J106" i="43"/>
  <c r="V105" i="43"/>
  <c r="J105" i="43"/>
  <c r="J104" i="43"/>
  <c r="J103" i="43"/>
  <c r="L4" i="43"/>
  <c r="I122" i="49"/>
  <c r="H122" i="49"/>
  <c r="I121" i="49"/>
  <c r="H121" i="49"/>
  <c r="I120" i="49"/>
  <c r="H120" i="49"/>
  <c r="V92" i="49"/>
  <c r="V91" i="49"/>
  <c r="V90" i="49"/>
  <c r="V89" i="49"/>
  <c r="V88" i="49"/>
  <c r="V87" i="49"/>
  <c r="P92" i="49"/>
  <c r="P91" i="49"/>
  <c r="P90" i="49"/>
  <c r="P89" i="49"/>
  <c r="P88" i="49"/>
  <c r="P87" i="49"/>
  <c r="J92" i="49"/>
  <c r="J91" i="49"/>
  <c r="J90" i="49"/>
  <c r="J89" i="49"/>
  <c r="J88" i="49"/>
  <c r="J87" i="49"/>
  <c r="D92" i="49"/>
  <c r="D91" i="49"/>
  <c r="D90" i="49"/>
  <c r="D89" i="49"/>
  <c r="D88" i="49"/>
  <c r="D87" i="49"/>
  <c r="P50" i="49"/>
  <c r="V54" i="49"/>
  <c r="P55" i="49"/>
  <c r="V66" i="49"/>
  <c r="U66" i="49"/>
  <c r="P65" i="49"/>
  <c r="J66" i="49"/>
  <c r="J56" i="49"/>
  <c r="J45" i="49"/>
  <c r="U142" i="49"/>
  <c r="T142" i="49"/>
  <c r="U141" i="49"/>
  <c r="T141" i="49"/>
  <c r="U140" i="49"/>
  <c r="T140" i="49"/>
  <c r="U137" i="49"/>
  <c r="T137" i="49"/>
  <c r="U136" i="49"/>
  <c r="T136" i="49"/>
  <c r="U135" i="49"/>
  <c r="T135" i="49"/>
  <c r="U132" i="49"/>
  <c r="T132" i="49"/>
  <c r="U131" i="49"/>
  <c r="T131" i="49"/>
  <c r="U130" i="49"/>
  <c r="T130" i="49"/>
  <c r="U127" i="49"/>
  <c r="T127" i="49"/>
  <c r="U126" i="49"/>
  <c r="T126" i="49"/>
  <c r="U125" i="49"/>
  <c r="T125" i="49"/>
  <c r="U122" i="49"/>
  <c r="T122" i="49"/>
  <c r="U121" i="49"/>
  <c r="T121" i="49"/>
  <c r="U120" i="49"/>
  <c r="T120" i="49"/>
  <c r="O142" i="49"/>
  <c r="N142" i="49"/>
  <c r="O141" i="49"/>
  <c r="N141" i="49"/>
  <c r="O140" i="49"/>
  <c r="N140" i="49"/>
  <c r="O137" i="49"/>
  <c r="N137" i="49"/>
  <c r="O136" i="49"/>
  <c r="N136" i="49"/>
  <c r="O135" i="49"/>
  <c r="N135" i="49"/>
  <c r="O132" i="49"/>
  <c r="N132" i="49"/>
  <c r="O131" i="49"/>
  <c r="N131" i="49"/>
  <c r="O130" i="49"/>
  <c r="N130" i="49"/>
  <c r="O127" i="49"/>
  <c r="N127" i="49"/>
  <c r="O126" i="49"/>
  <c r="N126" i="49"/>
  <c r="O125" i="49"/>
  <c r="N125" i="49"/>
  <c r="O122" i="49"/>
  <c r="N122" i="49"/>
  <c r="O121" i="49"/>
  <c r="N121" i="49"/>
  <c r="O120" i="49"/>
  <c r="N120" i="49"/>
  <c r="I142" i="49"/>
  <c r="H142" i="49"/>
  <c r="I141" i="49"/>
  <c r="H141" i="49"/>
  <c r="I140" i="49"/>
  <c r="H140" i="49"/>
  <c r="I137" i="49"/>
  <c r="H137" i="49"/>
  <c r="I136" i="49"/>
  <c r="H136" i="49"/>
  <c r="I135" i="49"/>
  <c r="H135" i="49"/>
  <c r="I132" i="49"/>
  <c r="H132" i="49"/>
  <c r="I131" i="49"/>
  <c r="H131" i="49"/>
  <c r="I130" i="49"/>
  <c r="H130" i="49"/>
  <c r="I127" i="49"/>
  <c r="H127" i="49"/>
  <c r="I126" i="49"/>
  <c r="H126" i="49"/>
  <c r="I125" i="49"/>
  <c r="H125" i="49"/>
  <c r="C141" i="49"/>
  <c r="C142" i="49"/>
  <c r="C121" i="49"/>
  <c r="C122" i="49"/>
  <c r="C125" i="49"/>
  <c r="C126" i="49"/>
  <c r="C127" i="49"/>
  <c r="C130" i="49"/>
  <c r="C131" i="49"/>
  <c r="C132" i="49"/>
  <c r="C135" i="49"/>
  <c r="C136" i="49"/>
  <c r="C137" i="49"/>
  <c r="C140" i="49"/>
  <c r="B141" i="49"/>
  <c r="B142" i="49"/>
  <c r="B121" i="49"/>
  <c r="B122" i="49"/>
  <c r="B125" i="49"/>
  <c r="B126" i="49"/>
  <c r="B127" i="49"/>
  <c r="B130" i="49"/>
  <c r="B131" i="49"/>
  <c r="B132" i="49"/>
  <c r="B135" i="49"/>
  <c r="B136" i="49"/>
  <c r="B137" i="49"/>
  <c r="B140" i="49"/>
  <c r="U40" i="49"/>
  <c r="U92" i="49" s="1"/>
  <c r="U39" i="49"/>
  <c r="V65" i="49" s="1"/>
  <c r="U38" i="49"/>
  <c r="U90" i="49" s="1"/>
  <c r="U37" i="49"/>
  <c r="U51" i="49" s="1"/>
  <c r="U36" i="49"/>
  <c r="U56" i="49" s="1"/>
  <c r="U35" i="49"/>
  <c r="U44" i="49" s="1"/>
  <c r="O40" i="49"/>
  <c r="O92" i="49" s="1"/>
  <c r="O39" i="49"/>
  <c r="O59" i="49" s="1"/>
  <c r="O38" i="49"/>
  <c r="P59" i="49" s="1"/>
  <c r="O37" i="49"/>
  <c r="O45" i="49" s="1"/>
  <c r="O36" i="49"/>
  <c r="O88" i="49" s="1"/>
  <c r="O35" i="49"/>
  <c r="O55" i="49" s="1"/>
  <c r="I40" i="49"/>
  <c r="I92" i="49" s="1"/>
  <c r="I39" i="49"/>
  <c r="J65" i="49" s="1"/>
  <c r="I38" i="49"/>
  <c r="I54" i="49" s="1"/>
  <c r="I37" i="49"/>
  <c r="I60" i="49" s="1"/>
  <c r="I36" i="49"/>
  <c r="I88" i="49" s="1"/>
  <c r="I35" i="49"/>
  <c r="I64" i="49" s="1"/>
  <c r="C40" i="49"/>
  <c r="D46" i="49" s="1"/>
  <c r="C39" i="49"/>
  <c r="C46" i="49" s="1"/>
  <c r="C38" i="49"/>
  <c r="D45" i="49" s="1"/>
  <c r="C37" i="49"/>
  <c r="C60" i="49" s="1"/>
  <c r="C36" i="49"/>
  <c r="D61" i="49" s="1"/>
  <c r="C35" i="49"/>
  <c r="C55" i="49" s="1"/>
  <c r="M4" i="49"/>
  <c r="C120" i="49"/>
  <c r="B120" i="49"/>
  <c r="AG103" i="49"/>
  <c r="AF103" i="49"/>
  <c r="AA103" i="49"/>
  <c r="Z103" i="49"/>
  <c r="U103" i="49"/>
  <c r="T103" i="49"/>
  <c r="O103" i="49"/>
  <c r="N103" i="49"/>
  <c r="I103" i="49"/>
  <c r="H103" i="49"/>
  <c r="C103" i="49"/>
  <c r="B103" i="49"/>
  <c r="AG102" i="49"/>
  <c r="AF102" i="49"/>
  <c r="AA102" i="49"/>
  <c r="Z102" i="49"/>
  <c r="U102" i="49"/>
  <c r="T102" i="49"/>
  <c r="O102" i="49"/>
  <c r="N102" i="49"/>
  <c r="I102" i="49"/>
  <c r="H102" i="49"/>
  <c r="C102" i="49"/>
  <c r="B102" i="49"/>
  <c r="AG99" i="49"/>
  <c r="AF99" i="49"/>
  <c r="AA99" i="49"/>
  <c r="Z99" i="49"/>
  <c r="U99" i="49"/>
  <c r="T99" i="49"/>
  <c r="O99" i="49"/>
  <c r="N99" i="49"/>
  <c r="I99" i="49"/>
  <c r="H99" i="49"/>
  <c r="C99" i="49"/>
  <c r="B99" i="49"/>
  <c r="AG98" i="49"/>
  <c r="AF98" i="49"/>
  <c r="AA98" i="49"/>
  <c r="Z98" i="49"/>
  <c r="U98" i="49"/>
  <c r="T98" i="49"/>
  <c r="O98" i="49"/>
  <c r="N98" i="49"/>
  <c r="I98" i="49"/>
  <c r="H98" i="49"/>
  <c r="C98" i="49"/>
  <c r="B98" i="49"/>
  <c r="AG95" i="49"/>
  <c r="AF95" i="49"/>
  <c r="AA95" i="49"/>
  <c r="Z95" i="49"/>
  <c r="U95" i="49"/>
  <c r="T95" i="49"/>
  <c r="O95" i="49"/>
  <c r="N95" i="49"/>
  <c r="I95" i="49"/>
  <c r="H95" i="49"/>
  <c r="C95" i="49"/>
  <c r="B95" i="49"/>
  <c r="AG94" i="49"/>
  <c r="AF94" i="49"/>
  <c r="AA94" i="49"/>
  <c r="Z94" i="49"/>
  <c r="U94" i="49"/>
  <c r="T94" i="49"/>
  <c r="O94" i="49"/>
  <c r="N94" i="49"/>
  <c r="I94" i="49"/>
  <c r="H94" i="49"/>
  <c r="C94" i="49"/>
  <c r="B94" i="49"/>
  <c r="AH84" i="49"/>
  <c r="AG84" i="49"/>
  <c r="AB84" i="49"/>
  <c r="AA84" i="49"/>
  <c r="V84" i="49"/>
  <c r="U84" i="49"/>
  <c r="P84" i="49"/>
  <c r="O84" i="49"/>
  <c r="J84" i="49"/>
  <c r="I84" i="49"/>
  <c r="D84" i="49"/>
  <c r="C84" i="49"/>
  <c r="AH83" i="49"/>
  <c r="AG83" i="49"/>
  <c r="AB83" i="49"/>
  <c r="AA83" i="49"/>
  <c r="V83" i="49"/>
  <c r="U83" i="49"/>
  <c r="P83" i="49"/>
  <c r="O83" i="49"/>
  <c r="J83" i="49"/>
  <c r="I83" i="49"/>
  <c r="D83" i="49"/>
  <c r="C83" i="49"/>
  <c r="AH82" i="49"/>
  <c r="AG82" i="49"/>
  <c r="AB82" i="49"/>
  <c r="AA82" i="49"/>
  <c r="V82" i="49"/>
  <c r="U82" i="49"/>
  <c r="P82" i="49"/>
  <c r="O82" i="49"/>
  <c r="J82" i="49"/>
  <c r="I82" i="49"/>
  <c r="D82" i="49"/>
  <c r="C82" i="49"/>
  <c r="AH81" i="49"/>
  <c r="AG81" i="49"/>
  <c r="AB81" i="49"/>
  <c r="AA81" i="49"/>
  <c r="V81" i="49"/>
  <c r="U81" i="49"/>
  <c r="P81" i="49"/>
  <c r="Q8" i="49" s="1"/>
  <c r="Q81" i="49" s="1"/>
  <c r="O81" i="49"/>
  <c r="J81" i="49"/>
  <c r="I81" i="49"/>
  <c r="D81" i="49"/>
  <c r="C81" i="49"/>
  <c r="AH23" i="49"/>
  <c r="AG23" i="49"/>
  <c r="AB23" i="49"/>
  <c r="AA23" i="49"/>
  <c r="V23" i="49"/>
  <c r="U23" i="49"/>
  <c r="P23" i="49"/>
  <c r="O23" i="49"/>
  <c r="J23" i="49"/>
  <c r="I23" i="49"/>
  <c r="D23" i="49"/>
  <c r="C23" i="49"/>
  <c r="AH22" i="49"/>
  <c r="AG22" i="49"/>
  <c r="AB22" i="49"/>
  <c r="AA22" i="49"/>
  <c r="V22" i="49"/>
  <c r="U22" i="49"/>
  <c r="P22" i="49"/>
  <c r="O22" i="49"/>
  <c r="J22" i="49"/>
  <c r="I22" i="49"/>
  <c r="D22" i="49"/>
  <c r="C22" i="49"/>
  <c r="AH19" i="49"/>
  <c r="AG19" i="49"/>
  <c r="AB19" i="49"/>
  <c r="AA19" i="49"/>
  <c r="V19" i="49"/>
  <c r="U19" i="49"/>
  <c r="P19" i="49"/>
  <c r="O19" i="49"/>
  <c r="J19" i="49"/>
  <c r="I19" i="49"/>
  <c r="D19" i="49"/>
  <c r="C19" i="49"/>
  <c r="AH18" i="49"/>
  <c r="AG18" i="49"/>
  <c r="AB18" i="49"/>
  <c r="AA18" i="49"/>
  <c r="V18" i="49"/>
  <c r="U18" i="49"/>
  <c r="P18" i="49"/>
  <c r="O18" i="49"/>
  <c r="J18" i="49"/>
  <c r="I18" i="49"/>
  <c r="D18" i="49"/>
  <c r="C18" i="49"/>
  <c r="AH15" i="49"/>
  <c r="AG15" i="49"/>
  <c r="AB15" i="49"/>
  <c r="AA15" i="49"/>
  <c r="V15" i="49"/>
  <c r="U15" i="49"/>
  <c r="P15" i="49"/>
  <c r="O15" i="49"/>
  <c r="J15" i="49"/>
  <c r="I15" i="49"/>
  <c r="D15" i="49"/>
  <c r="C15" i="49"/>
  <c r="AH14" i="49"/>
  <c r="AG14" i="49"/>
  <c r="AB14" i="49"/>
  <c r="AA14" i="49"/>
  <c r="V14" i="49"/>
  <c r="U14" i="49"/>
  <c r="P14" i="49"/>
  <c r="O14" i="49"/>
  <c r="J14" i="49"/>
  <c r="I14" i="49"/>
  <c r="D14" i="49"/>
  <c r="C14" i="49"/>
  <c r="B14" i="49"/>
  <c r="B15" i="49" s="1"/>
  <c r="V11" i="48"/>
  <c r="A15" i="48"/>
  <c r="A16" i="48" s="1"/>
  <c r="G15" i="48" s="1"/>
  <c r="G16" i="48" s="1"/>
  <c r="A19" i="48" s="1"/>
  <c r="B15" i="48"/>
  <c r="C15" i="48"/>
  <c r="H15" i="48"/>
  <c r="I15" i="48"/>
  <c r="M15" i="48"/>
  <c r="M16" i="48" s="1"/>
  <c r="S15" i="48" s="1"/>
  <c r="S16" i="48" s="1"/>
  <c r="N15" i="48"/>
  <c r="O15" i="48"/>
  <c r="T15" i="48"/>
  <c r="U15" i="48"/>
  <c r="B16" i="48"/>
  <c r="C16" i="48"/>
  <c r="H16" i="48"/>
  <c r="I16" i="48"/>
  <c r="N16" i="48"/>
  <c r="O16" i="48"/>
  <c r="T16" i="48"/>
  <c r="U16" i="48"/>
  <c r="B19" i="48"/>
  <c r="C19" i="48"/>
  <c r="H19" i="48"/>
  <c r="I19" i="48"/>
  <c r="N19" i="48"/>
  <c r="O19" i="48"/>
  <c r="T19" i="48"/>
  <c r="U19" i="48"/>
  <c r="B20" i="48"/>
  <c r="C20" i="48"/>
  <c r="H20" i="48"/>
  <c r="I20" i="48"/>
  <c r="N20" i="48"/>
  <c r="O20" i="48"/>
  <c r="T20" i="48"/>
  <c r="U20" i="48"/>
  <c r="B23" i="48"/>
  <c r="C23" i="48"/>
  <c r="H23" i="48"/>
  <c r="I23" i="48"/>
  <c r="N23" i="48"/>
  <c r="O23" i="48"/>
  <c r="T23" i="48"/>
  <c r="U23" i="48"/>
  <c r="B24" i="48"/>
  <c r="C24" i="48"/>
  <c r="H24" i="48"/>
  <c r="I24" i="48"/>
  <c r="N24" i="48"/>
  <c r="O24" i="48"/>
  <c r="T24" i="48"/>
  <c r="U24" i="48"/>
  <c r="V35" i="48"/>
  <c r="V129" i="48" s="1"/>
  <c r="A41" i="48"/>
  <c r="A42" i="48" s="1"/>
  <c r="G41" i="48" s="1"/>
  <c r="B41" i="48"/>
  <c r="C41" i="48"/>
  <c r="H41" i="48"/>
  <c r="I41" i="48"/>
  <c r="M41" i="48"/>
  <c r="M42" i="48" s="1"/>
  <c r="S41" i="48" s="1"/>
  <c r="N41" i="48"/>
  <c r="O41" i="48"/>
  <c r="T41" i="48"/>
  <c r="U41" i="48"/>
  <c r="B42" i="48"/>
  <c r="C42" i="48"/>
  <c r="H42" i="48"/>
  <c r="I42" i="48"/>
  <c r="N42" i="48"/>
  <c r="O42" i="48"/>
  <c r="T42" i="48"/>
  <c r="U42" i="48"/>
  <c r="B45" i="48"/>
  <c r="C45" i="48"/>
  <c r="H45" i="48"/>
  <c r="I45" i="48"/>
  <c r="N45" i="48"/>
  <c r="O45" i="48"/>
  <c r="T45" i="48"/>
  <c r="U45" i="48"/>
  <c r="B46" i="48"/>
  <c r="C46" i="48"/>
  <c r="H46" i="48"/>
  <c r="I46" i="48"/>
  <c r="N46" i="48"/>
  <c r="O46" i="48"/>
  <c r="T46" i="48"/>
  <c r="U46" i="48"/>
  <c r="B49" i="48"/>
  <c r="C49" i="48"/>
  <c r="H49" i="48"/>
  <c r="I49" i="48"/>
  <c r="N49" i="48"/>
  <c r="O49" i="48"/>
  <c r="T49" i="48"/>
  <c r="U49" i="48"/>
  <c r="B50" i="48"/>
  <c r="C50" i="48"/>
  <c r="H50" i="48"/>
  <c r="I50" i="48"/>
  <c r="N50" i="48"/>
  <c r="O50" i="48"/>
  <c r="T50" i="48"/>
  <c r="U50" i="48"/>
  <c r="T198" i="48"/>
  <c r="S198" i="48"/>
  <c r="N198" i="48"/>
  <c r="M198" i="48"/>
  <c r="H198" i="48"/>
  <c r="G198" i="48"/>
  <c r="B198" i="48"/>
  <c r="A198" i="48"/>
  <c r="T197" i="48"/>
  <c r="S197" i="48"/>
  <c r="N197" i="48"/>
  <c r="M197" i="48"/>
  <c r="H197" i="48"/>
  <c r="G197" i="48"/>
  <c r="B197" i="48"/>
  <c r="A197" i="48"/>
  <c r="T194" i="48"/>
  <c r="S194" i="48"/>
  <c r="N194" i="48"/>
  <c r="M194" i="48"/>
  <c r="H194" i="48"/>
  <c r="G194" i="48"/>
  <c r="B194" i="48"/>
  <c r="A194" i="48"/>
  <c r="T193" i="48"/>
  <c r="S193" i="48"/>
  <c r="N193" i="48"/>
  <c r="M193" i="48"/>
  <c r="H193" i="48"/>
  <c r="G193" i="48"/>
  <c r="B193" i="48"/>
  <c r="A193" i="48"/>
  <c r="T190" i="48"/>
  <c r="S190" i="48"/>
  <c r="N190" i="48"/>
  <c r="M190" i="48"/>
  <c r="H190" i="48"/>
  <c r="G190" i="48"/>
  <c r="B190" i="48"/>
  <c r="A190" i="48"/>
  <c r="T189" i="48"/>
  <c r="S189" i="48"/>
  <c r="N189" i="48"/>
  <c r="M189" i="48"/>
  <c r="H189" i="48"/>
  <c r="G189" i="48"/>
  <c r="B189" i="48"/>
  <c r="A189" i="48"/>
  <c r="U187" i="48"/>
  <c r="O187" i="48"/>
  <c r="I187" i="48"/>
  <c r="J86" i="48" s="1"/>
  <c r="J187" i="48" s="1"/>
  <c r="C187" i="48"/>
  <c r="U186" i="48"/>
  <c r="O186" i="48"/>
  <c r="I186" i="48"/>
  <c r="J85" i="48" s="1"/>
  <c r="J186" i="48" s="1"/>
  <c r="C186" i="48"/>
  <c r="U185" i="48"/>
  <c r="O185" i="48"/>
  <c r="I185" i="48"/>
  <c r="J84" i="48" s="1"/>
  <c r="J185" i="48" s="1"/>
  <c r="C185" i="48"/>
  <c r="U184" i="48"/>
  <c r="O184" i="48"/>
  <c r="I184" i="48"/>
  <c r="J83" i="48" s="1"/>
  <c r="J184" i="48" s="1"/>
  <c r="G184" i="48" s="1"/>
  <c r="C184" i="48"/>
  <c r="T172" i="48"/>
  <c r="S172" i="48"/>
  <c r="N172" i="48"/>
  <c r="M172" i="48"/>
  <c r="H172" i="48"/>
  <c r="G172" i="48"/>
  <c r="B172" i="48"/>
  <c r="A172" i="48"/>
  <c r="T171" i="48"/>
  <c r="S171" i="48"/>
  <c r="N171" i="48"/>
  <c r="M171" i="48"/>
  <c r="H171" i="48"/>
  <c r="G171" i="48"/>
  <c r="B171" i="48"/>
  <c r="A171" i="48"/>
  <c r="T168" i="48"/>
  <c r="S168" i="48"/>
  <c r="N168" i="48"/>
  <c r="M168" i="48"/>
  <c r="H168" i="48"/>
  <c r="G168" i="48"/>
  <c r="B168" i="48"/>
  <c r="A168" i="48"/>
  <c r="T167" i="48"/>
  <c r="S167" i="48"/>
  <c r="N167" i="48"/>
  <c r="M167" i="48"/>
  <c r="H167" i="48"/>
  <c r="G167" i="48"/>
  <c r="B167" i="48"/>
  <c r="A167" i="48"/>
  <c r="T164" i="48"/>
  <c r="S164" i="48"/>
  <c r="N164" i="48"/>
  <c r="M164" i="48"/>
  <c r="H164" i="48"/>
  <c r="G164" i="48"/>
  <c r="B164" i="48"/>
  <c r="A164" i="48"/>
  <c r="T163" i="48"/>
  <c r="S163" i="48"/>
  <c r="N163" i="48"/>
  <c r="M163" i="48"/>
  <c r="H163" i="48"/>
  <c r="G163" i="48"/>
  <c r="B163" i="48"/>
  <c r="A163" i="48"/>
  <c r="U161" i="48"/>
  <c r="O161" i="48"/>
  <c r="I161" i="48"/>
  <c r="J67" i="48" s="1"/>
  <c r="J161" i="48" s="1"/>
  <c r="C161" i="48"/>
  <c r="U160" i="48"/>
  <c r="O160" i="48"/>
  <c r="I160" i="48"/>
  <c r="J66" i="48" s="1"/>
  <c r="J160" i="48" s="1"/>
  <c r="C160" i="48"/>
  <c r="U159" i="48"/>
  <c r="O159" i="48"/>
  <c r="I159" i="48"/>
  <c r="J65" i="48" s="1"/>
  <c r="J159" i="48" s="1"/>
  <c r="C159" i="48"/>
  <c r="U158" i="48"/>
  <c r="O158" i="48"/>
  <c r="I158" i="48"/>
  <c r="J64" i="48" s="1"/>
  <c r="J158" i="48" s="1"/>
  <c r="G158" i="48" s="1"/>
  <c r="C158" i="48"/>
  <c r="T143" i="48"/>
  <c r="S143" i="48"/>
  <c r="N143" i="48"/>
  <c r="M143" i="48"/>
  <c r="H143" i="48"/>
  <c r="G143" i="48"/>
  <c r="B143" i="48"/>
  <c r="A143" i="48"/>
  <c r="T142" i="48"/>
  <c r="S142" i="48"/>
  <c r="N142" i="48"/>
  <c r="M142" i="48"/>
  <c r="H142" i="48"/>
  <c r="G142" i="48"/>
  <c r="B142" i="48"/>
  <c r="A142" i="48"/>
  <c r="T139" i="48"/>
  <c r="S139" i="48"/>
  <c r="N139" i="48"/>
  <c r="M139" i="48"/>
  <c r="H139" i="48"/>
  <c r="G139" i="48"/>
  <c r="B139" i="48"/>
  <c r="A139" i="48"/>
  <c r="T138" i="48"/>
  <c r="S138" i="48"/>
  <c r="N138" i="48"/>
  <c r="M138" i="48"/>
  <c r="H138" i="48"/>
  <c r="G138" i="48"/>
  <c r="B138" i="48"/>
  <c r="A138" i="48"/>
  <c r="T135" i="48"/>
  <c r="V38" i="48" s="1"/>
  <c r="V132" i="48" s="1"/>
  <c r="S135" i="48"/>
  <c r="V37" i="48" s="1"/>
  <c r="V131" i="48" s="1"/>
  <c r="N135" i="48"/>
  <c r="M135" i="48"/>
  <c r="H135" i="48"/>
  <c r="G135" i="48"/>
  <c r="J37" i="48" s="1"/>
  <c r="J131" i="48" s="1"/>
  <c r="B135" i="48"/>
  <c r="A135" i="48"/>
  <c r="T134" i="48"/>
  <c r="V36" i="48" s="1"/>
  <c r="V130" i="48" s="1"/>
  <c r="S134" i="48"/>
  <c r="N134" i="48"/>
  <c r="M134" i="48"/>
  <c r="H134" i="48"/>
  <c r="G134" i="48"/>
  <c r="J35" i="48" s="1"/>
  <c r="J129" i="48" s="1"/>
  <c r="B134" i="48"/>
  <c r="A134" i="48"/>
  <c r="U132" i="48"/>
  <c r="T132" i="48"/>
  <c r="O132" i="48"/>
  <c r="N132" i="48"/>
  <c r="I132" i="48"/>
  <c r="H132" i="48"/>
  <c r="C132" i="48"/>
  <c r="B132" i="48"/>
  <c r="U131" i="48"/>
  <c r="T131" i="48"/>
  <c r="O131" i="48"/>
  <c r="N131" i="48"/>
  <c r="I131" i="48"/>
  <c r="H131" i="48"/>
  <c r="C131" i="48"/>
  <c r="B131" i="48"/>
  <c r="U130" i="48"/>
  <c r="T130" i="48"/>
  <c r="O130" i="48"/>
  <c r="N130" i="48"/>
  <c r="I130" i="48"/>
  <c r="H130" i="48"/>
  <c r="C130" i="48"/>
  <c r="B130" i="48"/>
  <c r="U129" i="48"/>
  <c r="T129" i="48"/>
  <c r="O129" i="48"/>
  <c r="P35" i="48" s="1"/>
  <c r="P129" i="48" s="1"/>
  <c r="N129" i="48"/>
  <c r="I129" i="48"/>
  <c r="H129" i="48"/>
  <c r="C129" i="48"/>
  <c r="B129" i="48"/>
  <c r="T117" i="48"/>
  <c r="S117" i="48"/>
  <c r="N117" i="48"/>
  <c r="M117" i="48"/>
  <c r="H117" i="48"/>
  <c r="G117" i="48"/>
  <c r="B117" i="48"/>
  <c r="A117" i="48"/>
  <c r="T116" i="48"/>
  <c r="S116" i="48"/>
  <c r="N116" i="48"/>
  <c r="M116" i="48"/>
  <c r="H116" i="48"/>
  <c r="G116" i="48"/>
  <c r="B116" i="48"/>
  <c r="A116" i="48"/>
  <c r="T113" i="48"/>
  <c r="S113" i="48"/>
  <c r="N113" i="48"/>
  <c r="M113" i="48"/>
  <c r="H113" i="48"/>
  <c r="G113" i="48"/>
  <c r="B113" i="48"/>
  <c r="A113" i="48"/>
  <c r="T112" i="48"/>
  <c r="S112" i="48"/>
  <c r="N112" i="48"/>
  <c r="M112" i="48"/>
  <c r="H112" i="48"/>
  <c r="G112" i="48"/>
  <c r="B112" i="48"/>
  <c r="A112" i="48"/>
  <c r="T109" i="48"/>
  <c r="V12" i="48" s="1"/>
  <c r="S109" i="48"/>
  <c r="N109" i="48"/>
  <c r="M109" i="48"/>
  <c r="H109" i="48"/>
  <c r="G109" i="48"/>
  <c r="J11" i="48" s="1"/>
  <c r="B109" i="48"/>
  <c r="A109" i="48"/>
  <c r="T108" i="48"/>
  <c r="V10" i="48" s="1"/>
  <c r="S108" i="48"/>
  <c r="V9" i="48" s="1"/>
  <c r="N108" i="48"/>
  <c r="M108" i="48"/>
  <c r="H108" i="48"/>
  <c r="G108" i="48"/>
  <c r="J9" i="48" s="1"/>
  <c r="B108" i="48"/>
  <c r="A108" i="48"/>
  <c r="U106" i="48"/>
  <c r="T106" i="48"/>
  <c r="O106" i="48"/>
  <c r="N106" i="48"/>
  <c r="I106" i="48"/>
  <c r="H106" i="48"/>
  <c r="C106" i="48"/>
  <c r="B106" i="48"/>
  <c r="U105" i="48"/>
  <c r="T105" i="48"/>
  <c r="O105" i="48"/>
  <c r="N105" i="48"/>
  <c r="I105" i="48"/>
  <c r="H105" i="48"/>
  <c r="C105" i="48"/>
  <c r="B105" i="48"/>
  <c r="U104" i="48"/>
  <c r="T104" i="48"/>
  <c r="O104" i="48"/>
  <c r="N104" i="48"/>
  <c r="I104" i="48"/>
  <c r="H104" i="48"/>
  <c r="C104" i="48"/>
  <c r="B104" i="48"/>
  <c r="U103" i="48"/>
  <c r="T103" i="48"/>
  <c r="O103" i="48"/>
  <c r="P9" i="48" s="1"/>
  <c r="N103" i="48"/>
  <c r="I103" i="48"/>
  <c r="H103" i="48"/>
  <c r="C103" i="48"/>
  <c r="B103" i="48"/>
  <c r="V86" i="48"/>
  <c r="V187" i="48" s="1"/>
  <c r="T86" i="48"/>
  <c r="P86" i="48"/>
  <c r="P187" i="48" s="1"/>
  <c r="N86" i="48"/>
  <c r="N187" i="48" s="1"/>
  <c r="H86" i="48"/>
  <c r="H187" i="48" s="1"/>
  <c r="D86" i="48"/>
  <c r="D187" i="48" s="1"/>
  <c r="B86" i="48"/>
  <c r="B187" i="48" s="1"/>
  <c r="V85" i="48"/>
  <c r="V186" i="48" s="1"/>
  <c r="T85" i="48"/>
  <c r="P85" i="48"/>
  <c r="P186" i="48" s="1"/>
  <c r="N85" i="48"/>
  <c r="N90" i="48" s="1"/>
  <c r="H85" i="48"/>
  <c r="I98" i="48" s="1"/>
  <c r="D85" i="48"/>
  <c r="D186" i="48" s="1"/>
  <c r="B85" i="48"/>
  <c r="B186" i="48" s="1"/>
  <c r="V84" i="48"/>
  <c r="V185" i="48" s="1"/>
  <c r="T84" i="48"/>
  <c r="P84" i="48"/>
  <c r="P185" i="48" s="1"/>
  <c r="N84" i="48"/>
  <c r="N98" i="48" s="1"/>
  <c r="H84" i="48"/>
  <c r="D84" i="48"/>
  <c r="D185" i="48" s="1"/>
  <c r="B84" i="48"/>
  <c r="B185" i="48" s="1"/>
  <c r="V83" i="48"/>
  <c r="V184" i="48" s="1"/>
  <c r="S184" i="48" s="1"/>
  <c r="T83" i="48"/>
  <c r="T184" i="48" s="1"/>
  <c r="P83" i="48"/>
  <c r="P184" i="48" s="1"/>
  <c r="M184" i="48" s="1"/>
  <c r="N83" i="48"/>
  <c r="H83" i="48"/>
  <c r="D83" i="48"/>
  <c r="D184" i="48" s="1"/>
  <c r="A184" i="48" s="1"/>
  <c r="B83" i="48"/>
  <c r="B184" i="48" s="1"/>
  <c r="V67" i="48"/>
  <c r="V161" i="48" s="1"/>
  <c r="T67" i="48"/>
  <c r="T161" i="48" s="1"/>
  <c r="P67" i="48"/>
  <c r="P161" i="48" s="1"/>
  <c r="N67" i="48"/>
  <c r="N161" i="48" s="1"/>
  <c r="H67" i="48"/>
  <c r="H161" i="48" s="1"/>
  <c r="D67" i="48"/>
  <c r="D161" i="48" s="1"/>
  <c r="B67" i="48"/>
  <c r="B161" i="48" s="1"/>
  <c r="V66" i="48"/>
  <c r="V160" i="48" s="1"/>
  <c r="T66" i="48"/>
  <c r="P66" i="48"/>
  <c r="P160" i="48" s="1"/>
  <c r="N66" i="48"/>
  <c r="N160" i="48" s="1"/>
  <c r="H66" i="48"/>
  <c r="H160" i="48" s="1"/>
  <c r="D66" i="48"/>
  <c r="D160" i="48" s="1"/>
  <c r="B66" i="48"/>
  <c r="B160" i="48" s="1"/>
  <c r="V65" i="48"/>
  <c r="V159" i="48" s="1"/>
  <c r="T65" i="48"/>
  <c r="T159" i="48" s="1"/>
  <c r="P65" i="48"/>
  <c r="P159" i="48" s="1"/>
  <c r="N65" i="48"/>
  <c r="N75" i="48" s="1"/>
  <c r="H65" i="48"/>
  <c r="H159" i="48" s="1"/>
  <c r="D65" i="48"/>
  <c r="D159" i="48" s="1"/>
  <c r="B65" i="48"/>
  <c r="B159" i="48" s="1"/>
  <c r="V64" i="48"/>
  <c r="V158" i="48" s="1"/>
  <c r="S158" i="48" s="1"/>
  <c r="T64" i="48"/>
  <c r="T158" i="48" s="1"/>
  <c r="P64" i="48"/>
  <c r="P158" i="48" s="1"/>
  <c r="M158" i="48" s="1"/>
  <c r="N64" i="48"/>
  <c r="N158" i="48" s="1"/>
  <c r="H64" i="48"/>
  <c r="H158" i="48" s="1"/>
  <c r="D64" i="48"/>
  <c r="D158" i="48" s="1"/>
  <c r="A158" i="48" s="1"/>
  <c r="B64" i="48"/>
  <c r="B158" i="48" s="1"/>
  <c r="L4" i="48"/>
  <c r="T87" i="42"/>
  <c r="T86" i="42"/>
  <c r="N87" i="42"/>
  <c r="N86" i="42"/>
  <c r="H87" i="42"/>
  <c r="H86" i="42"/>
  <c r="B87" i="42"/>
  <c r="B86" i="42"/>
  <c r="C94" i="42" s="1"/>
  <c r="B85" i="42"/>
  <c r="B84" i="42"/>
  <c r="T68" i="42"/>
  <c r="T67" i="42"/>
  <c r="T66" i="42"/>
  <c r="T65" i="42"/>
  <c r="N68" i="42"/>
  <c r="O72" i="42" s="1"/>
  <c r="N67" i="42"/>
  <c r="O80" i="42" s="1"/>
  <c r="N66" i="42"/>
  <c r="N76" i="42" s="1"/>
  <c r="N65" i="42"/>
  <c r="H68" i="42"/>
  <c r="I72" i="42" s="1"/>
  <c r="H67" i="42"/>
  <c r="H66" i="42"/>
  <c r="H65" i="42"/>
  <c r="B68" i="42"/>
  <c r="C76" i="42" s="1"/>
  <c r="B67" i="42"/>
  <c r="B66" i="42"/>
  <c r="B65" i="42"/>
  <c r="L4" i="42"/>
  <c r="T199" i="42"/>
  <c r="S199" i="42"/>
  <c r="N199" i="42"/>
  <c r="M199" i="42"/>
  <c r="H199" i="42"/>
  <c r="G199" i="42"/>
  <c r="B199" i="42"/>
  <c r="A199" i="42"/>
  <c r="T198" i="42"/>
  <c r="S198" i="42"/>
  <c r="N198" i="42"/>
  <c r="M198" i="42"/>
  <c r="H198" i="42"/>
  <c r="G198" i="42"/>
  <c r="B198" i="42"/>
  <c r="A198" i="42"/>
  <c r="T195" i="42"/>
  <c r="S195" i="42"/>
  <c r="N195" i="42"/>
  <c r="M195" i="42"/>
  <c r="H195" i="42"/>
  <c r="G195" i="42"/>
  <c r="B195" i="42"/>
  <c r="A195" i="42"/>
  <c r="T194" i="42"/>
  <c r="S194" i="42"/>
  <c r="N194" i="42"/>
  <c r="M194" i="42"/>
  <c r="H194" i="42"/>
  <c r="G194" i="42"/>
  <c r="B194" i="42"/>
  <c r="A194" i="42"/>
  <c r="T191" i="42"/>
  <c r="S191" i="42"/>
  <c r="N191" i="42"/>
  <c r="M191" i="42"/>
  <c r="H191" i="42"/>
  <c r="G191" i="42"/>
  <c r="B191" i="42"/>
  <c r="A191" i="42"/>
  <c r="T190" i="42"/>
  <c r="S190" i="42"/>
  <c r="N190" i="42"/>
  <c r="M190" i="42"/>
  <c r="H190" i="42"/>
  <c r="G190" i="42"/>
  <c r="B190" i="42"/>
  <c r="A190" i="42"/>
  <c r="U188" i="42"/>
  <c r="O188" i="42"/>
  <c r="I188" i="42"/>
  <c r="C188" i="42"/>
  <c r="U187" i="42"/>
  <c r="O187" i="42"/>
  <c r="I187" i="42"/>
  <c r="C187" i="42"/>
  <c r="U186" i="42"/>
  <c r="O186" i="42"/>
  <c r="I186" i="42"/>
  <c r="C186" i="42"/>
  <c r="U185" i="42"/>
  <c r="O185" i="42"/>
  <c r="I185" i="42"/>
  <c r="C185" i="42"/>
  <c r="T173" i="42"/>
  <c r="S173" i="42"/>
  <c r="N173" i="42"/>
  <c r="M173" i="42"/>
  <c r="H173" i="42"/>
  <c r="G173" i="42"/>
  <c r="B173" i="42"/>
  <c r="A173" i="42"/>
  <c r="T172" i="42"/>
  <c r="S172" i="42"/>
  <c r="N172" i="42"/>
  <c r="M172" i="42"/>
  <c r="H172" i="42"/>
  <c r="G172" i="42"/>
  <c r="B172" i="42"/>
  <c r="A172" i="42"/>
  <c r="T169" i="42"/>
  <c r="S169" i="42"/>
  <c r="N169" i="42"/>
  <c r="M169" i="42"/>
  <c r="H169" i="42"/>
  <c r="G169" i="42"/>
  <c r="B169" i="42"/>
  <c r="A169" i="42"/>
  <c r="T168" i="42"/>
  <c r="S168" i="42"/>
  <c r="N168" i="42"/>
  <c r="M168" i="42"/>
  <c r="H168" i="42"/>
  <c r="G168" i="42"/>
  <c r="B168" i="42"/>
  <c r="A168" i="42"/>
  <c r="T165" i="42"/>
  <c r="S165" i="42"/>
  <c r="N165" i="42"/>
  <c r="M165" i="42"/>
  <c r="H165" i="42"/>
  <c r="G165" i="42"/>
  <c r="B165" i="42"/>
  <c r="A165" i="42"/>
  <c r="T164" i="42"/>
  <c r="S164" i="42"/>
  <c r="N164" i="42"/>
  <c r="M164" i="42"/>
  <c r="H164" i="42"/>
  <c r="G164" i="42"/>
  <c r="B164" i="42"/>
  <c r="A164" i="42"/>
  <c r="U162" i="42"/>
  <c r="O162" i="42"/>
  <c r="I162" i="42"/>
  <c r="C162" i="42"/>
  <c r="D68" i="42" s="1"/>
  <c r="D162" i="42" s="1"/>
  <c r="U161" i="42"/>
  <c r="O161" i="42"/>
  <c r="I161" i="42"/>
  <c r="C161" i="42"/>
  <c r="U160" i="42"/>
  <c r="O160" i="42"/>
  <c r="I160" i="42"/>
  <c r="C160" i="42"/>
  <c r="U159" i="42"/>
  <c r="O159" i="42"/>
  <c r="I159" i="42"/>
  <c r="C159" i="42"/>
  <c r="T144" i="42"/>
  <c r="S144" i="42"/>
  <c r="N144" i="42"/>
  <c r="M144" i="42"/>
  <c r="H144" i="42"/>
  <c r="G144" i="42"/>
  <c r="B144" i="42"/>
  <c r="A144" i="42"/>
  <c r="T143" i="42"/>
  <c r="S143" i="42"/>
  <c r="N143" i="42"/>
  <c r="M143" i="42"/>
  <c r="H143" i="42"/>
  <c r="G143" i="42"/>
  <c r="B143" i="42"/>
  <c r="A143" i="42"/>
  <c r="T140" i="42"/>
  <c r="S140" i="42"/>
  <c r="N140" i="42"/>
  <c r="M140" i="42"/>
  <c r="H140" i="42"/>
  <c r="G140" i="42"/>
  <c r="B140" i="42"/>
  <c r="A140" i="42"/>
  <c r="D37" i="42" s="1"/>
  <c r="D131" i="42" s="1"/>
  <c r="T139" i="42"/>
  <c r="S139" i="42"/>
  <c r="N139" i="42"/>
  <c r="M139" i="42"/>
  <c r="H139" i="42"/>
  <c r="G139" i="42"/>
  <c r="B139" i="42"/>
  <c r="A139" i="42"/>
  <c r="T136" i="42"/>
  <c r="S136" i="42"/>
  <c r="N136" i="42"/>
  <c r="M136" i="42"/>
  <c r="H136" i="42"/>
  <c r="G136" i="42"/>
  <c r="B136" i="42"/>
  <c r="A136" i="42"/>
  <c r="T135" i="42"/>
  <c r="S135" i="42"/>
  <c r="N135" i="42"/>
  <c r="M135" i="42"/>
  <c r="H135" i="42"/>
  <c r="G135" i="42"/>
  <c r="B135" i="42"/>
  <c r="A135" i="42"/>
  <c r="U133" i="42"/>
  <c r="T133" i="42"/>
  <c r="O133" i="42"/>
  <c r="N133" i="42"/>
  <c r="I133" i="42"/>
  <c r="H133" i="42"/>
  <c r="C133" i="42"/>
  <c r="B133" i="42"/>
  <c r="U132" i="42"/>
  <c r="T132" i="42"/>
  <c r="O132" i="42"/>
  <c r="N132" i="42"/>
  <c r="I132" i="42"/>
  <c r="H132" i="42"/>
  <c r="C132" i="42"/>
  <c r="B132" i="42"/>
  <c r="U131" i="42"/>
  <c r="T131" i="42"/>
  <c r="O131" i="42"/>
  <c r="N131" i="42"/>
  <c r="I131" i="42"/>
  <c r="H131" i="42"/>
  <c r="C131" i="42"/>
  <c r="B131" i="42"/>
  <c r="U130" i="42"/>
  <c r="T130" i="42"/>
  <c r="O130" i="42"/>
  <c r="N130" i="42"/>
  <c r="I130" i="42"/>
  <c r="H130" i="42"/>
  <c r="C130" i="42"/>
  <c r="B130" i="42"/>
  <c r="T118" i="42"/>
  <c r="S118" i="42"/>
  <c r="N118" i="42"/>
  <c r="M118" i="42"/>
  <c r="H118" i="42"/>
  <c r="G118" i="42"/>
  <c r="B118" i="42"/>
  <c r="A118" i="42"/>
  <c r="T117" i="42"/>
  <c r="S117" i="42"/>
  <c r="N117" i="42"/>
  <c r="M117" i="42"/>
  <c r="H117" i="42"/>
  <c r="G117" i="42"/>
  <c r="B117" i="42"/>
  <c r="A117" i="42"/>
  <c r="T114" i="42"/>
  <c r="S114" i="42"/>
  <c r="N114" i="42"/>
  <c r="M114" i="42"/>
  <c r="H114" i="42"/>
  <c r="G114" i="42"/>
  <c r="B114" i="42"/>
  <c r="A114" i="42"/>
  <c r="T113" i="42"/>
  <c r="S113" i="42"/>
  <c r="N113" i="42"/>
  <c r="M113" i="42"/>
  <c r="H113" i="42"/>
  <c r="G113" i="42"/>
  <c r="B113" i="42"/>
  <c r="A113" i="42"/>
  <c r="T110" i="42"/>
  <c r="S110" i="42"/>
  <c r="N110" i="42"/>
  <c r="M110" i="42"/>
  <c r="H110" i="42"/>
  <c r="G110" i="42"/>
  <c r="B110" i="42"/>
  <c r="A110" i="42"/>
  <c r="T109" i="42"/>
  <c r="S109" i="42"/>
  <c r="N109" i="42"/>
  <c r="M109" i="42"/>
  <c r="H109" i="42"/>
  <c r="G109" i="42"/>
  <c r="B109" i="42"/>
  <c r="A109" i="42"/>
  <c r="U107" i="42"/>
  <c r="T107" i="42"/>
  <c r="O107" i="42"/>
  <c r="N107" i="42"/>
  <c r="I107" i="42"/>
  <c r="H107" i="42"/>
  <c r="C107" i="42"/>
  <c r="B107" i="42"/>
  <c r="U106" i="42"/>
  <c r="T106" i="42"/>
  <c r="O106" i="42"/>
  <c r="N106" i="42"/>
  <c r="I106" i="42"/>
  <c r="H106" i="42"/>
  <c r="C106" i="42"/>
  <c r="B106" i="42"/>
  <c r="U105" i="42"/>
  <c r="T105" i="42"/>
  <c r="O105" i="42"/>
  <c r="N105" i="42"/>
  <c r="I105" i="42"/>
  <c r="H105" i="42"/>
  <c r="C105" i="42"/>
  <c r="B105" i="42"/>
  <c r="U104" i="42"/>
  <c r="T104" i="42"/>
  <c r="O104" i="42"/>
  <c r="N104" i="42"/>
  <c r="I104" i="42"/>
  <c r="H104" i="42"/>
  <c r="C104" i="42"/>
  <c r="B104" i="42"/>
  <c r="T188" i="42"/>
  <c r="J87" i="42"/>
  <c r="J188" i="42" s="1"/>
  <c r="T187" i="42"/>
  <c r="N187" i="42"/>
  <c r="H91" i="42"/>
  <c r="T85" i="42"/>
  <c r="N85" i="42"/>
  <c r="N95" i="42" s="1"/>
  <c r="H85" i="42"/>
  <c r="H95" i="42" s="1"/>
  <c r="T84" i="42"/>
  <c r="T185" i="42" s="1"/>
  <c r="N84" i="42"/>
  <c r="N185" i="42" s="1"/>
  <c r="H84" i="42"/>
  <c r="H98" i="42" s="1"/>
  <c r="T162" i="42"/>
  <c r="P68" i="42"/>
  <c r="P162" i="42" s="1"/>
  <c r="T161" i="42"/>
  <c r="I75" i="42"/>
  <c r="V66" i="42"/>
  <c r="V160" i="42" s="1"/>
  <c r="T160" i="42"/>
  <c r="H160" i="42"/>
  <c r="V65" i="42"/>
  <c r="V159" i="42" s="1"/>
  <c r="T159" i="42"/>
  <c r="H159" i="42"/>
  <c r="B75" i="42"/>
  <c r="U51" i="42"/>
  <c r="T51" i="42"/>
  <c r="O51" i="42"/>
  <c r="N51" i="42"/>
  <c r="I51" i="42"/>
  <c r="H51" i="42"/>
  <c r="C51" i="42"/>
  <c r="B51" i="42"/>
  <c r="U50" i="42"/>
  <c r="T50" i="42"/>
  <c r="O50" i="42"/>
  <c r="N50" i="42"/>
  <c r="I50" i="42"/>
  <c r="H50" i="42"/>
  <c r="C50" i="42"/>
  <c r="B50" i="42"/>
  <c r="U47" i="42"/>
  <c r="T47" i="42"/>
  <c r="O47" i="42"/>
  <c r="N47" i="42"/>
  <c r="I47" i="42"/>
  <c r="H47" i="42"/>
  <c r="C47" i="42"/>
  <c r="B47" i="42"/>
  <c r="U46" i="42"/>
  <c r="T46" i="42"/>
  <c r="O46" i="42"/>
  <c r="N46" i="42"/>
  <c r="I46" i="42"/>
  <c r="H46" i="42"/>
  <c r="C46" i="42"/>
  <c r="B46" i="42"/>
  <c r="U43" i="42"/>
  <c r="T43" i="42"/>
  <c r="O43" i="42"/>
  <c r="N43" i="42"/>
  <c r="I43" i="42"/>
  <c r="H43" i="42"/>
  <c r="C43" i="42"/>
  <c r="B43" i="42"/>
  <c r="U42" i="42"/>
  <c r="T42" i="42"/>
  <c r="O42" i="42"/>
  <c r="N42" i="42"/>
  <c r="M42" i="42"/>
  <c r="M43" i="42" s="1"/>
  <c r="I42" i="42"/>
  <c r="H42" i="42"/>
  <c r="C42" i="42"/>
  <c r="B42" i="42"/>
  <c r="A42" i="42"/>
  <c r="A43" i="42" s="1"/>
  <c r="J39" i="42"/>
  <c r="J133" i="42" s="1"/>
  <c r="D39" i="42"/>
  <c r="D133" i="42" s="1"/>
  <c r="J38" i="42"/>
  <c r="J132" i="42" s="1"/>
  <c r="J37" i="42"/>
  <c r="J131" i="42" s="1"/>
  <c r="J36" i="42"/>
  <c r="J130" i="42" s="1"/>
  <c r="U25" i="42"/>
  <c r="T25" i="42"/>
  <c r="O25" i="42"/>
  <c r="N25" i="42"/>
  <c r="I25" i="42"/>
  <c r="H25" i="42"/>
  <c r="C25" i="42"/>
  <c r="B25" i="42"/>
  <c r="U24" i="42"/>
  <c r="T24" i="42"/>
  <c r="O24" i="42"/>
  <c r="N24" i="42"/>
  <c r="I24" i="42"/>
  <c r="H24" i="42"/>
  <c r="C24" i="42"/>
  <c r="B24" i="42"/>
  <c r="U21" i="42"/>
  <c r="T21" i="42"/>
  <c r="O21" i="42"/>
  <c r="N21" i="42"/>
  <c r="I21" i="42"/>
  <c r="H21" i="42"/>
  <c r="C21" i="42"/>
  <c r="B21" i="42"/>
  <c r="U20" i="42"/>
  <c r="T20" i="42"/>
  <c r="O20" i="42"/>
  <c r="N20" i="42"/>
  <c r="I20" i="42"/>
  <c r="H20" i="42"/>
  <c r="C20" i="42"/>
  <c r="B20" i="42"/>
  <c r="U17" i="42"/>
  <c r="T17" i="42"/>
  <c r="O17" i="42"/>
  <c r="N17" i="42"/>
  <c r="I17" i="42"/>
  <c r="H17" i="42"/>
  <c r="C17" i="42"/>
  <c r="B17" i="42"/>
  <c r="U16" i="42"/>
  <c r="T16" i="42"/>
  <c r="O16" i="42"/>
  <c r="N16" i="42"/>
  <c r="M16" i="42"/>
  <c r="M17" i="42" s="1"/>
  <c r="I16" i="42"/>
  <c r="H16" i="42"/>
  <c r="C16" i="42"/>
  <c r="B16" i="42"/>
  <c r="A16" i="42"/>
  <c r="A17" i="42" s="1"/>
  <c r="G17" i="42" s="1"/>
  <c r="V13" i="42"/>
  <c r="V107" i="42" s="1"/>
  <c r="P13" i="42"/>
  <c r="P107" i="42" s="1"/>
  <c r="D13" i="42"/>
  <c r="D107" i="42" s="1"/>
  <c r="V12" i="42"/>
  <c r="V106" i="42" s="1"/>
  <c r="V11" i="42"/>
  <c r="V105" i="42" s="1"/>
  <c r="D11" i="42"/>
  <c r="D105" i="42" s="1"/>
  <c r="V10" i="42"/>
  <c r="V104" i="42" s="1"/>
  <c r="N128" i="41"/>
  <c r="N127" i="41"/>
  <c r="N126" i="41"/>
  <c r="N125" i="41"/>
  <c r="B126" i="41"/>
  <c r="B125" i="41"/>
  <c r="B128" i="41"/>
  <c r="B127" i="41"/>
  <c r="T92" i="41"/>
  <c r="T91" i="41"/>
  <c r="T96" i="41" s="1"/>
  <c r="T90" i="41"/>
  <c r="T100" i="41" s="1"/>
  <c r="T89" i="41"/>
  <c r="T216" i="41" s="1"/>
  <c r="N92" i="41"/>
  <c r="O96" i="41" s="1"/>
  <c r="N91" i="41"/>
  <c r="N218" i="41" s="1"/>
  <c r="N90" i="41"/>
  <c r="N100" i="41" s="1"/>
  <c r="H92" i="41"/>
  <c r="H219" i="41" s="1"/>
  <c r="H91" i="41"/>
  <c r="H96" i="41" s="1"/>
  <c r="H90" i="41"/>
  <c r="H100" i="41" s="1"/>
  <c r="H89" i="41"/>
  <c r="H103" i="41" s="1"/>
  <c r="B92" i="41"/>
  <c r="C103" i="41" s="1"/>
  <c r="B91" i="41"/>
  <c r="B90" i="41"/>
  <c r="B217" i="41" s="1"/>
  <c r="T68" i="41"/>
  <c r="T193" i="41" s="1"/>
  <c r="T67" i="41"/>
  <c r="U75" i="41" s="1"/>
  <c r="T66" i="41"/>
  <c r="T76" i="41" s="1"/>
  <c r="T65" i="41"/>
  <c r="T71" i="41" s="1"/>
  <c r="N68" i="41"/>
  <c r="N193" i="41" s="1"/>
  <c r="N67" i="41"/>
  <c r="O80" i="41" s="1"/>
  <c r="N66" i="41"/>
  <c r="N76" i="41" s="1"/>
  <c r="H68" i="41"/>
  <c r="I79" i="41" s="1"/>
  <c r="H67" i="41"/>
  <c r="H72" i="41" s="1"/>
  <c r="H66" i="41"/>
  <c r="H76" i="41" s="1"/>
  <c r="H65" i="41"/>
  <c r="H71" i="41" s="1"/>
  <c r="B68" i="41"/>
  <c r="B67" i="41"/>
  <c r="B66" i="41"/>
  <c r="T230" i="41"/>
  <c r="S230" i="41"/>
  <c r="N230" i="41"/>
  <c r="M230" i="41"/>
  <c r="H230" i="41"/>
  <c r="G230" i="41"/>
  <c r="B230" i="41"/>
  <c r="A230" i="41"/>
  <c r="T229" i="41"/>
  <c r="S229" i="41"/>
  <c r="N229" i="41"/>
  <c r="M229" i="41"/>
  <c r="H229" i="41"/>
  <c r="G229" i="41"/>
  <c r="B229" i="41"/>
  <c r="A229" i="41"/>
  <c r="T226" i="41"/>
  <c r="S226" i="41"/>
  <c r="N226" i="41"/>
  <c r="M226" i="41"/>
  <c r="H226" i="41"/>
  <c r="G226" i="41"/>
  <c r="B226" i="41"/>
  <c r="A226" i="41"/>
  <c r="T225" i="41"/>
  <c r="S225" i="41"/>
  <c r="N225" i="41"/>
  <c r="M225" i="41"/>
  <c r="H225" i="41"/>
  <c r="G225" i="41"/>
  <c r="B225" i="41"/>
  <c r="A225" i="41"/>
  <c r="T222" i="41"/>
  <c r="S222" i="41"/>
  <c r="N222" i="41"/>
  <c r="M222" i="41"/>
  <c r="H222" i="41"/>
  <c r="G222" i="41"/>
  <c r="B222" i="41"/>
  <c r="A222" i="41"/>
  <c r="T221" i="41"/>
  <c r="S221" i="41"/>
  <c r="N221" i="41"/>
  <c r="M221" i="41"/>
  <c r="H221" i="41"/>
  <c r="G221" i="41"/>
  <c r="B221" i="41"/>
  <c r="A221" i="41"/>
  <c r="U219" i="41"/>
  <c r="T219" i="41"/>
  <c r="O219" i="41"/>
  <c r="N219" i="41"/>
  <c r="I219" i="41"/>
  <c r="C219" i="41"/>
  <c r="U218" i="41"/>
  <c r="O218" i="41"/>
  <c r="I218" i="41"/>
  <c r="C218" i="41"/>
  <c r="B218" i="41"/>
  <c r="U217" i="41"/>
  <c r="O217" i="41"/>
  <c r="I217" i="41"/>
  <c r="C217" i="41"/>
  <c r="U216" i="41"/>
  <c r="O216" i="41"/>
  <c r="I216" i="41"/>
  <c r="C216" i="41"/>
  <c r="T204" i="41"/>
  <c r="S204" i="41"/>
  <c r="N204" i="41"/>
  <c r="M204" i="41"/>
  <c r="H204" i="41"/>
  <c r="G204" i="41"/>
  <c r="B204" i="41"/>
  <c r="A204" i="41"/>
  <c r="T203" i="41"/>
  <c r="S203" i="41"/>
  <c r="N203" i="41"/>
  <c r="M203" i="41"/>
  <c r="H203" i="41"/>
  <c r="G203" i="41"/>
  <c r="B203" i="41"/>
  <c r="A203" i="41"/>
  <c r="T200" i="41"/>
  <c r="S200" i="41"/>
  <c r="N200" i="41"/>
  <c r="M200" i="41"/>
  <c r="H200" i="41"/>
  <c r="G200" i="41"/>
  <c r="B200" i="41"/>
  <c r="A200" i="41"/>
  <c r="T199" i="41"/>
  <c r="S199" i="41"/>
  <c r="N199" i="41"/>
  <c r="M199" i="41"/>
  <c r="H199" i="41"/>
  <c r="G199" i="41"/>
  <c r="B199" i="41"/>
  <c r="A199" i="41"/>
  <c r="T196" i="41"/>
  <c r="S196" i="41"/>
  <c r="N196" i="41"/>
  <c r="M196" i="41"/>
  <c r="H196" i="41"/>
  <c r="G196" i="41"/>
  <c r="B196" i="41"/>
  <c r="A196" i="41"/>
  <c r="T195" i="41"/>
  <c r="S195" i="41"/>
  <c r="N195" i="41"/>
  <c r="M195" i="41"/>
  <c r="H195" i="41"/>
  <c r="G195" i="41"/>
  <c r="B195" i="41"/>
  <c r="A195" i="41"/>
  <c r="U193" i="41"/>
  <c r="O193" i="41"/>
  <c r="I193" i="41"/>
  <c r="H193" i="41"/>
  <c r="C193" i="41"/>
  <c r="U192" i="41"/>
  <c r="O192" i="41"/>
  <c r="I192" i="41"/>
  <c r="C192" i="41"/>
  <c r="U191" i="41"/>
  <c r="O191" i="41"/>
  <c r="N191" i="41"/>
  <c r="I191" i="41"/>
  <c r="C191" i="41"/>
  <c r="U190" i="41"/>
  <c r="O190" i="41"/>
  <c r="I190" i="41"/>
  <c r="C190" i="41"/>
  <c r="N104" i="41"/>
  <c r="C104" i="41"/>
  <c r="U103" i="41"/>
  <c r="U100" i="41"/>
  <c r="O100" i="41"/>
  <c r="C99" i="41"/>
  <c r="U96" i="41"/>
  <c r="I96" i="41"/>
  <c r="B96" i="41"/>
  <c r="U80" i="41"/>
  <c r="T80" i="41"/>
  <c r="I76" i="41"/>
  <c r="I72" i="41"/>
  <c r="T175" i="41"/>
  <c r="S175" i="41"/>
  <c r="N175" i="41"/>
  <c r="M175" i="41"/>
  <c r="H175" i="41"/>
  <c r="G175" i="41"/>
  <c r="B175" i="41"/>
  <c r="A175" i="41"/>
  <c r="T174" i="41"/>
  <c r="S174" i="41"/>
  <c r="N174" i="41"/>
  <c r="M174" i="41"/>
  <c r="H174" i="41"/>
  <c r="G174" i="41"/>
  <c r="B174" i="41"/>
  <c r="A174" i="41"/>
  <c r="T171" i="41"/>
  <c r="S171" i="41"/>
  <c r="N171" i="41"/>
  <c r="M171" i="41"/>
  <c r="H171" i="41"/>
  <c r="G171" i="41"/>
  <c r="B171" i="41"/>
  <c r="A171" i="41"/>
  <c r="T170" i="41"/>
  <c r="S170" i="41"/>
  <c r="N170" i="41"/>
  <c r="M170" i="41"/>
  <c r="H170" i="41"/>
  <c r="G170" i="41"/>
  <c r="B170" i="41"/>
  <c r="A170" i="41"/>
  <c r="T167" i="41"/>
  <c r="S167" i="41"/>
  <c r="N167" i="41"/>
  <c r="M167" i="41"/>
  <c r="H167" i="41"/>
  <c r="G167" i="41"/>
  <c r="B167" i="41"/>
  <c r="A167" i="41"/>
  <c r="T166" i="41"/>
  <c r="S166" i="41"/>
  <c r="N166" i="41"/>
  <c r="M166" i="41"/>
  <c r="H166" i="41"/>
  <c r="G166" i="41"/>
  <c r="B166" i="41"/>
  <c r="A166" i="41"/>
  <c r="U164" i="41"/>
  <c r="T164" i="41"/>
  <c r="O164" i="41"/>
  <c r="N164" i="41"/>
  <c r="I164" i="41"/>
  <c r="H164" i="41"/>
  <c r="C164" i="41"/>
  <c r="D39" i="41" s="1"/>
  <c r="D164" i="41" s="1"/>
  <c r="B164" i="41"/>
  <c r="U163" i="41"/>
  <c r="T163" i="41"/>
  <c r="O163" i="41"/>
  <c r="N163" i="41"/>
  <c r="I163" i="41"/>
  <c r="H163" i="41"/>
  <c r="C163" i="41"/>
  <c r="B163" i="41"/>
  <c r="U162" i="41"/>
  <c r="T162" i="41"/>
  <c r="O162" i="41"/>
  <c r="N162" i="41"/>
  <c r="I162" i="41"/>
  <c r="H162" i="41"/>
  <c r="C162" i="41"/>
  <c r="B162" i="41"/>
  <c r="U161" i="41"/>
  <c r="T161" i="41"/>
  <c r="O161" i="41"/>
  <c r="N161" i="41"/>
  <c r="I161" i="41"/>
  <c r="H161" i="41"/>
  <c r="C161" i="41"/>
  <c r="B161" i="41"/>
  <c r="T149" i="41"/>
  <c r="S149" i="41"/>
  <c r="N149" i="41"/>
  <c r="M149" i="41"/>
  <c r="H149" i="41"/>
  <c r="G149" i="41"/>
  <c r="B149" i="41"/>
  <c r="A149" i="41"/>
  <c r="T148" i="41"/>
  <c r="S148" i="41"/>
  <c r="N148" i="41"/>
  <c r="M148" i="41"/>
  <c r="H148" i="41"/>
  <c r="G148" i="41"/>
  <c r="B148" i="41"/>
  <c r="A148" i="41"/>
  <c r="T145" i="41"/>
  <c r="S145" i="41"/>
  <c r="N145" i="41"/>
  <c r="M145" i="41"/>
  <c r="H145" i="41"/>
  <c r="G145" i="41"/>
  <c r="B145" i="41"/>
  <c r="A145" i="41"/>
  <c r="T144" i="41"/>
  <c r="S144" i="41"/>
  <c r="N144" i="41"/>
  <c r="M144" i="41"/>
  <c r="H144" i="41"/>
  <c r="G144" i="41"/>
  <c r="B144" i="41"/>
  <c r="A144" i="41"/>
  <c r="T141" i="41"/>
  <c r="S141" i="41"/>
  <c r="N141" i="41"/>
  <c r="M141" i="41"/>
  <c r="H141" i="41"/>
  <c r="G141" i="41"/>
  <c r="B141" i="41"/>
  <c r="A141" i="41"/>
  <c r="T140" i="41"/>
  <c r="S140" i="41"/>
  <c r="N140" i="41"/>
  <c r="M140" i="41"/>
  <c r="H140" i="41"/>
  <c r="G140" i="41"/>
  <c r="B140" i="41"/>
  <c r="A140" i="41"/>
  <c r="U138" i="41"/>
  <c r="T138" i="41"/>
  <c r="O138" i="41"/>
  <c r="N138" i="41"/>
  <c r="I138" i="41"/>
  <c r="H138" i="41"/>
  <c r="C138" i="41"/>
  <c r="B138" i="41"/>
  <c r="U137" i="41"/>
  <c r="T137" i="41"/>
  <c r="O137" i="41"/>
  <c r="N137" i="41"/>
  <c r="I137" i="41"/>
  <c r="H137" i="41"/>
  <c r="C137" i="41"/>
  <c r="B137" i="41"/>
  <c r="U136" i="41"/>
  <c r="T136" i="41"/>
  <c r="O136" i="41"/>
  <c r="N136" i="41"/>
  <c r="I136" i="41"/>
  <c r="H136" i="41"/>
  <c r="C136" i="41"/>
  <c r="B136" i="41"/>
  <c r="U135" i="41"/>
  <c r="T135" i="41"/>
  <c r="O135" i="41"/>
  <c r="N135" i="41"/>
  <c r="I135" i="41"/>
  <c r="H135" i="41"/>
  <c r="C135" i="41"/>
  <c r="B135" i="41"/>
  <c r="T130" i="41"/>
  <c r="N130" i="41"/>
  <c r="H130" i="41"/>
  <c r="B130" i="41"/>
  <c r="T129" i="41"/>
  <c r="N129" i="41"/>
  <c r="H129" i="41"/>
  <c r="B129" i="41"/>
  <c r="T128" i="41"/>
  <c r="H128" i="41"/>
  <c r="T127" i="41"/>
  <c r="H127" i="41"/>
  <c r="T126" i="41"/>
  <c r="H126" i="41"/>
  <c r="T125" i="41"/>
  <c r="H125" i="41"/>
  <c r="T124" i="41"/>
  <c r="N124" i="41"/>
  <c r="H124" i="41"/>
  <c r="B124" i="41"/>
  <c r="T123" i="41"/>
  <c r="N123" i="41"/>
  <c r="H123" i="41"/>
  <c r="B123" i="41"/>
  <c r="U51" i="41"/>
  <c r="T51" i="41"/>
  <c r="O51" i="41"/>
  <c r="N51" i="41"/>
  <c r="I51" i="41"/>
  <c r="H51" i="41"/>
  <c r="C51" i="41"/>
  <c r="B51" i="41"/>
  <c r="U50" i="41"/>
  <c r="T50" i="41"/>
  <c r="O50" i="41"/>
  <c r="N50" i="41"/>
  <c r="I50" i="41"/>
  <c r="H50" i="41"/>
  <c r="C50" i="41"/>
  <c r="B50" i="41"/>
  <c r="U47" i="41"/>
  <c r="T47" i="41"/>
  <c r="O47" i="41"/>
  <c r="N47" i="41"/>
  <c r="I47" i="41"/>
  <c r="H47" i="41"/>
  <c r="C47" i="41"/>
  <c r="B47" i="41"/>
  <c r="U46" i="41"/>
  <c r="T46" i="41"/>
  <c r="O46" i="41"/>
  <c r="N46" i="41"/>
  <c r="I46" i="41"/>
  <c r="H46" i="41"/>
  <c r="C46" i="41"/>
  <c r="B46" i="41"/>
  <c r="U43" i="41"/>
  <c r="T43" i="41"/>
  <c r="O43" i="41"/>
  <c r="N43" i="41"/>
  <c r="I43" i="41"/>
  <c r="H43" i="41"/>
  <c r="C43" i="41"/>
  <c r="B43" i="41"/>
  <c r="U42" i="41"/>
  <c r="T42" i="41"/>
  <c r="O42" i="41"/>
  <c r="N42" i="41"/>
  <c r="M42" i="41"/>
  <c r="M43" i="41" s="1"/>
  <c r="S42" i="41" s="1"/>
  <c r="S43" i="41" s="1"/>
  <c r="M46" i="41" s="1"/>
  <c r="M47" i="41" s="1"/>
  <c r="S46" i="41" s="1"/>
  <c r="S47" i="41" s="1"/>
  <c r="M50" i="41" s="1"/>
  <c r="M51" i="41" s="1"/>
  <c r="S50" i="41" s="1"/>
  <c r="S51" i="41" s="1"/>
  <c r="I42" i="41"/>
  <c r="H42" i="41"/>
  <c r="C42" i="41"/>
  <c r="B42" i="41"/>
  <c r="A42" i="41"/>
  <c r="A43" i="41" s="1"/>
  <c r="G42" i="41" s="1"/>
  <c r="G43" i="41" s="1"/>
  <c r="A46" i="41" s="1"/>
  <c r="A47" i="41" s="1"/>
  <c r="G46" i="41" s="1"/>
  <c r="G47" i="41" s="1"/>
  <c r="A50" i="41" s="1"/>
  <c r="A51" i="41" s="1"/>
  <c r="G50" i="41" s="1"/>
  <c r="G51" i="41" s="1"/>
  <c r="A71" i="41" s="1"/>
  <c r="A72" i="41" s="1"/>
  <c r="G71" i="41" s="1"/>
  <c r="G72" i="41" s="1"/>
  <c r="A75" i="41" s="1"/>
  <c r="P39" i="41"/>
  <c r="P164" i="41" s="1"/>
  <c r="U25" i="41"/>
  <c r="T25" i="41"/>
  <c r="O25" i="41"/>
  <c r="N25" i="41"/>
  <c r="I25" i="41"/>
  <c r="H25" i="41"/>
  <c r="C25" i="41"/>
  <c r="B25" i="41"/>
  <c r="U24" i="41"/>
  <c r="T24" i="41"/>
  <c r="O24" i="41"/>
  <c r="N24" i="41"/>
  <c r="I24" i="41"/>
  <c r="H24" i="41"/>
  <c r="C24" i="41"/>
  <c r="B24" i="41"/>
  <c r="U21" i="41"/>
  <c r="T21" i="41"/>
  <c r="O21" i="41"/>
  <c r="N21" i="41"/>
  <c r="I21" i="41"/>
  <c r="H21" i="41"/>
  <c r="C21" i="41"/>
  <c r="B21" i="41"/>
  <c r="U20" i="41"/>
  <c r="T20" i="41"/>
  <c r="O20" i="41"/>
  <c r="N20" i="41"/>
  <c r="I20" i="41"/>
  <c r="H20" i="41"/>
  <c r="C20" i="41"/>
  <c r="B20" i="41"/>
  <c r="U17" i="41"/>
  <c r="T17" i="41"/>
  <c r="O17" i="41"/>
  <c r="N17" i="41"/>
  <c r="I17" i="41"/>
  <c r="H17" i="41"/>
  <c r="C17" i="41"/>
  <c r="B17" i="41"/>
  <c r="U16" i="41"/>
  <c r="T16" i="41"/>
  <c r="O16" i="41"/>
  <c r="N16" i="41"/>
  <c r="M16" i="41"/>
  <c r="M17" i="41" s="1"/>
  <c r="S16" i="41" s="1"/>
  <c r="S17" i="41" s="1"/>
  <c r="I16" i="41"/>
  <c r="H16" i="41"/>
  <c r="C16" i="41"/>
  <c r="B193" i="41" s="1"/>
  <c r="B16" i="41"/>
  <c r="A16" i="41"/>
  <c r="A17" i="41" s="1"/>
  <c r="G16" i="41" s="1"/>
  <c r="G17" i="41" s="1"/>
  <c r="C104" i="45"/>
  <c r="C103" i="45"/>
  <c r="C106" i="45"/>
  <c r="C105" i="45"/>
  <c r="C108" i="45"/>
  <c r="C107" i="45"/>
  <c r="C110" i="45"/>
  <c r="C109" i="45"/>
  <c r="I104" i="45"/>
  <c r="I103" i="45"/>
  <c r="I106" i="45"/>
  <c r="I105" i="45"/>
  <c r="I108" i="45"/>
  <c r="I107" i="45"/>
  <c r="I110" i="45"/>
  <c r="I109" i="45"/>
  <c r="V70" i="45"/>
  <c r="V69" i="45"/>
  <c r="U70" i="45"/>
  <c r="U69" i="45"/>
  <c r="V66" i="45"/>
  <c r="V65" i="45"/>
  <c r="U66" i="45"/>
  <c r="U65" i="45"/>
  <c r="P70" i="45"/>
  <c r="P69" i="45"/>
  <c r="O70" i="45"/>
  <c r="O69" i="45"/>
  <c r="P66" i="45"/>
  <c r="P65" i="45"/>
  <c r="O66" i="45"/>
  <c r="O65" i="45"/>
  <c r="P82" i="45"/>
  <c r="O82" i="45"/>
  <c r="P81" i="45"/>
  <c r="O81" i="45"/>
  <c r="V78" i="45"/>
  <c r="U78" i="45"/>
  <c r="V77" i="45"/>
  <c r="U77" i="45"/>
  <c r="V74" i="45"/>
  <c r="U74" i="45"/>
  <c r="V73" i="45"/>
  <c r="U73" i="45"/>
  <c r="P78" i="45"/>
  <c r="O78" i="45"/>
  <c r="P77" i="45"/>
  <c r="O77" i="45"/>
  <c r="P74" i="45"/>
  <c r="O74" i="45"/>
  <c r="P73" i="45"/>
  <c r="O73" i="45"/>
  <c r="D70" i="45"/>
  <c r="C70" i="45"/>
  <c r="D69" i="45"/>
  <c r="C69" i="45"/>
  <c r="C77" i="45"/>
  <c r="D77" i="45"/>
  <c r="C78" i="45"/>
  <c r="D78" i="45"/>
  <c r="I78" i="45"/>
  <c r="I74" i="45"/>
  <c r="I77" i="45"/>
  <c r="I73" i="45"/>
  <c r="D74" i="45"/>
  <c r="D73" i="45"/>
  <c r="C73" i="45"/>
  <c r="C74" i="45"/>
  <c r="E11" i="49" l="1"/>
  <c r="E84" i="49" s="1"/>
  <c r="J60" i="49"/>
  <c r="O72" i="41"/>
  <c r="N217" i="41"/>
  <c r="J65" i="42"/>
  <c r="J159" i="42" s="1"/>
  <c r="C51" i="49"/>
  <c r="O61" i="49"/>
  <c r="U61" i="49"/>
  <c r="O66" i="49"/>
  <c r="V55" i="49"/>
  <c r="U50" i="49"/>
  <c r="V46" i="49"/>
  <c r="U91" i="49"/>
  <c r="S158" i="43"/>
  <c r="M158" i="43"/>
  <c r="M160" i="43"/>
  <c r="V60" i="49"/>
  <c r="U87" i="49"/>
  <c r="O95" i="41"/>
  <c r="J10" i="48"/>
  <c r="J12" i="48"/>
  <c r="J36" i="48"/>
  <c r="J130" i="48" s="1"/>
  <c r="J38" i="48"/>
  <c r="J132" i="48" s="1"/>
  <c r="D66" i="49"/>
  <c r="J50" i="49"/>
  <c r="P61" i="49"/>
  <c r="J64" i="49"/>
  <c r="V64" i="49"/>
  <c r="P54" i="49"/>
  <c r="V56" i="49"/>
  <c r="V51" i="49"/>
  <c r="O89" i="49"/>
  <c r="G129" i="43"/>
  <c r="S186" i="43"/>
  <c r="E9" i="49"/>
  <c r="E82" i="49" s="1"/>
  <c r="U46" i="49"/>
  <c r="O76" i="41"/>
  <c r="S104" i="42"/>
  <c r="J66" i="42"/>
  <c r="J160" i="42" s="1"/>
  <c r="J68" i="42"/>
  <c r="J162" i="42" s="1"/>
  <c r="I91" i="49"/>
  <c r="U59" i="49"/>
  <c r="O50" i="49"/>
  <c r="P46" i="49"/>
  <c r="S15" i="43"/>
  <c r="S16" i="43" s="1"/>
  <c r="S129" i="43"/>
  <c r="A186" i="43"/>
  <c r="A159" i="43"/>
  <c r="A185" i="43"/>
  <c r="G105" i="43"/>
  <c r="S41" i="43"/>
  <c r="S42" i="43" s="1"/>
  <c r="M161" i="43"/>
  <c r="G186" i="43"/>
  <c r="A187" i="43"/>
  <c r="M159" i="43"/>
  <c r="S131" i="43"/>
  <c r="S132" i="43"/>
  <c r="A158" i="43"/>
  <c r="M129" i="43"/>
  <c r="S187" i="43"/>
  <c r="S184" i="43"/>
  <c r="S185" i="43"/>
  <c r="G160" i="43"/>
  <c r="G187" i="43"/>
  <c r="G184" i="43"/>
  <c r="G185" i="43"/>
  <c r="S161" i="43"/>
  <c r="S159" i="43"/>
  <c r="S160" i="43"/>
  <c r="G161" i="43"/>
  <c r="G158" i="43"/>
  <c r="G159" i="43"/>
  <c r="A160" i="43"/>
  <c r="A161" i="43"/>
  <c r="S130" i="43"/>
  <c r="T57" i="43" s="1"/>
  <c r="M132" i="43"/>
  <c r="G130" i="43"/>
  <c r="G132" i="43"/>
  <c r="G131" i="43"/>
  <c r="J57" i="43" s="1"/>
  <c r="P106" i="43"/>
  <c r="M103" i="43" s="1"/>
  <c r="V103" i="43"/>
  <c r="V104" i="43"/>
  <c r="S104" i="43" s="1"/>
  <c r="V106" i="43"/>
  <c r="M104" i="43"/>
  <c r="G104" i="43"/>
  <c r="G103" i="43"/>
  <c r="H28" i="43" s="1"/>
  <c r="G106" i="43"/>
  <c r="D106" i="43"/>
  <c r="U71" i="43"/>
  <c r="H89" i="43"/>
  <c r="D103" i="43"/>
  <c r="D105" i="43"/>
  <c r="D104" i="43"/>
  <c r="U78" i="43"/>
  <c r="H94" i="43"/>
  <c r="T71" i="43"/>
  <c r="T74" i="43"/>
  <c r="U79" i="43"/>
  <c r="H93" i="43"/>
  <c r="H97" i="43"/>
  <c r="N75" i="43"/>
  <c r="T89" i="43"/>
  <c r="T97" i="43"/>
  <c r="O74" i="43"/>
  <c r="O70" i="43"/>
  <c r="H74" i="43"/>
  <c r="T93" i="43"/>
  <c r="J55" i="43"/>
  <c r="J54" i="43"/>
  <c r="H55" i="43"/>
  <c r="H54" i="43"/>
  <c r="A132" i="43"/>
  <c r="A129" i="43"/>
  <c r="P54" i="43"/>
  <c r="A131" i="43"/>
  <c r="M131" i="43"/>
  <c r="A130" i="43"/>
  <c r="M130" i="43"/>
  <c r="A19" i="43"/>
  <c r="M19" i="43"/>
  <c r="V54" i="43"/>
  <c r="T54" i="43"/>
  <c r="B159" i="43"/>
  <c r="B79" i="43"/>
  <c r="B75" i="43"/>
  <c r="U70" i="43"/>
  <c r="C75" i="43"/>
  <c r="T79" i="43"/>
  <c r="B185" i="43"/>
  <c r="B98" i="43"/>
  <c r="B94" i="43"/>
  <c r="U89" i="43"/>
  <c r="T185" i="43"/>
  <c r="O97" i="43"/>
  <c r="H159" i="43"/>
  <c r="I70" i="43"/>
  <c r="C70" i="43"/>
  <c r="N70" i="43"/>
  <c r="O75" i="43"/>
  <c r="C78" i="43"/>
  <c r="N78" i="43"/>
  <c r="N97" i="43"/>
  <c r="N93" i="43"/>
  <c r="N89" i="43"/>
  <c r="N184" i="43"/>
  <c r="H185" i="43"/>
  <c r="I89" i="43"/>
  <c r="N90" i="43"/>
  <c r="N186" i="43"/>
  <c r="C89" i="43"/>
  <c r="C97" i="43"/>
  <c r="G15" i="43"/>
  <c r="G41" i="43"/>
  <c r="G42" i="43" s="1"/>
  <c r="A45" i="43" s="1"/>
  <c r="B158" i="43"/>
  <c r="B78" i="43"/>
  <c r="B74" i="43"/>
  <c r="B70" i="43"/>
  <c r="B160" i="43"/>
  <c r="B71" i="43"/>
  <c r="H161" i="43"/>
  <c r="I78" i="43"/>
  <c r="I75" i="43"/>
  <c r="I71" i="43"/>
  <c r="C71" i="43"/>
  <c r="N71" i="43"/>
  <c r="U74" i="43"/>
  <c r="H75" i="43"/>
  <c r="T75" i="43"/>
  <c r="O78" i="43"/>
  <c r="C79" i="43"/>
  <c r="N79" i="43"/>
  <c r="B184" i="43"/>
  <c r="B97" i="43"/>
  <c r="B93" i="43"/>
  <c r="B89" i="43"/>
  <c r="B186" i="43"/>
  <c r="B90" i="43"/>
  <c r="U98" i="43"/>
  <c r="U93" i="43"/>
  <c r="T186" i="43"/>
  <c r="H187" i="43"/>
  <c r="I97" i="43"/>
  <c r="I94" i="43"/>
  <c r="I90" i="43"/>
  <c r="U97" i="43"/>
  <c r="U94" i="43"/>
  <c r="U90" i="43"/>
  <c r="T187" i="43"/>
  <c r="O90" i="43"/>
  <c r="O94" i="43"/>
  <c r="O98" i="43"/>
  <c r="H160" i="43"/>
  <c r="I79" i="43"/>
  <c r="I74" i="43"/>
  <c r="H70" i="43"/>
  <c r="T70" i="43"/>
  <c r="O71" i="43"/>
  <c r="C74" i="43"/>
  <c r="N74" i="43"/>
  <c r="U75" i="43"/>
  <c r="H78" i="43"/>
  <c r="T78" i="43"/>
  <c r="O79" i="43"/>
  <c r="N98" i="43"/>
  <c r="N94" i="43"/>
  <c r="N185" i="43"/>
  <c r="H186" i="43"/>
  <c r="I98" i="43"/>
  <c r="I93" i="43"/>
  <c r="C90" i="43"/>
  <c r="T90" i="43"/>
  <c r="C94" i="43"/>
  <c r="T94" i="43"/>
  <c r="C98" i="43"/>
  <c r="T98" i="43"/>
  <c r="P10" i="41"/>
  <c r="P135" i="41" s="1"/>
  <c r="P36" i="41"/>
  <c r="P161" i="41" s="1"/>
  <c r="U104" i="41"/>
  <c r="H217" i="41"/>
  <c r="J90" i="41"/>
  <c r="J217" i="41" s="1"/>
  <c r="J68" i="41"/>
  <c r="J193" i="41" s="1"/>
  <c r="M72" i="41"/>
  <c r="V49" i="49"/>
  <c r="D54" i="49"/>
  <c r="C56" i="49"/>
  <c r="I44" i="49"/>
  <c r="I46" i="49"/>
  <c r="D50" i="49"/>
  <c r="I49" i="49"/>
  <c r="I51" i="49"/>
  <c r="I55" i="49"/>
  <c r="I59" i="49"/>
  <c r="I61" i="49"/>
  <c r="O60" i="49"/>
  <c r="I65" i="49"/>
  <c r="O64" i="49"/>
  <c r="U65" i="49"/>
  <c r="O54" i="49"/>
  <c r="O56" i="49"/>
  <c r="U55" i="49"/>
  <c r="O49" i="49"/>
  <c r="O51" i="49"/>
  <c r="O44" i="49"/>
  <c r="O46" i="49"/>
  <c r="U45" i="49"/>
  <c r="I90" i="49"/>
  <c r="O90" i="49"/>
  <c r="U88" i="49"/>
  <c r="J54" i="49"/>
  <c r="P45" i="49"/>
  <c r="D64" i="49"/>
  <c r="D56" i="49"/>
  <c r="J44" i="49"/>
  <c r="J46" i="49"/>
  <c r="C50" i="49"/>
  <c r="J49" i="49"/>
  <c r="J51" i="49"/>
  <c r="J55" i="49"/>
  <c r="J59" i="49"/>
  <c r="J61" i="49"/>
  <c r="P60" i="49"/>
  <c r="V59" i="49"/>
  <c r="V61" i="49"/>
  <c r="P64" i="49"/>
  <c r="P66" i="49"/>
  <c r="P56" i="49"/>
  <c r="P49" i="49"/>
  <c r="P51" i="49"/>
  <c r="V50" i="49"/>
  <c r="P44" i="49"/>
  <c r="V45" i="49"/>
  <c r="O87" i="49"/>
  <c r="O91" i="49"/>
  <c r="U89" i="49"/>
  <c r="C49" i="49"/>
  <c r="V44" i="49"/>
  <c r="C66" i="49"/>
  <c r="I45" i="49"/>
  <c r="D51" i="49"/>
  <c r="D49" i="49"/>
  <c r="I50" i="49"/>
  <c r="I56" i="49"/>
  <c r="U60" i="49"/>
  <c r="I66" i="49"/>
  <c r="O65" i="49"/>
  <c r="U64" i="49"/>
  <c r="U54" i="49"/>
  <c r="U49" i="49"/>
  <c r="E39" i="49"/>
  <c r="E91" i="49" s="1"/>
  <c r="K37" i="49"/>
  <c r="K89" i="49" s="1"/>
  <c r="K39" i="49"/>
  <c r="K91" i="49" s="1"/>
  <c r="K40" i="49"/>
  <c r="K92" i="49" s="1"/>
  <c r="K38" i="49"/>
  <c r="K90" i="49" s="1"/>
  <c r="K36" i="49"/>
  <c r="K88" i="49" s="1"/>
  <c r="Q39" i="49"/>
  <c r="Q91" i="49" s="1"/>
  <c r="W40" i="49"/>
  <c r="W92" i="49" s="1"/>
  <c r="W39" i="49"/>
  <c r="W91" i="49" s="1"/>
  <c r="W38" i="49"/>
  <c r="W90" i="49" s="1"/>
  <c r="Q40" i="49"/>
  <c r="Q92" i="49" s="1"/>
  <c r="Q35" i="49"/>
  <c r="Q87" i="49" s="1"/>
  <c r="Q38" i="49"/>
  <c r="Q90" i="49" s="1"/>
  <c r="Q37" i="49"/>
  <c r="Q89" i="49" s="1"/>
  <c r="Q36" i="49"/>
  <c r="Q88" i="49" s="1"/>
  <c r="K35" i="49"/>
  <c r="K87" i="49" s="1"/>
  <c r="E36" i="49"/>
  <c r="E88" i="49" s="1"/>
  <c r="W37" i="49"/>
  <c r="W89" i="49" s="1"/>
  <c r="W35" i="49"/>
  <c r="W87" i="49" s="1"/>
  <c r="W36" i="49"/>
  <c r="W88" i="49" s="1"/>
  <c r="E8" i="49"/>
  <c r="E81" i="49" s="1"/>
  <c r="D60" i="49"/>
  <c r="E37" i="49"/>
  <c r="E89" i="49" s="1"/>
  <c r="C64" i="49"/>
  <c r="W11" i="49"/>
  <c r="W84" i="49" s="1"/>
  <c r="C65" i="49"/>
  <c r="C59" i="49"/>
  <c r="C61" i="49"/>
  <c r="C54" i="49"/>
  <c r="D65" i="49"/>
  <c r="D55" i="49"/>
  <c r="D59" i="49"/>
  <c r="E38" i="49"/>
  <c r="E90" i="49" s="1"/>
  <c r="E35" i="49"/>
  <c r="E87" i="49" s="1"/>
  <c r="E40" i="49"/>
  <c r="E92" i="49" s="1"/>
  <c r="Q9" i="49"/>
  <c r="Q82" i="49" s="1"/>
  <c r="Q11" i="49"/>
  <c r="Q84" i="49" s="1"/>
  <c r="AC11" i="49"/>
  <c r="AC84" i="49" s="1"/>
  <c r="Q10" i="49"/>
  <c r="Q83" i="49" s="1"/>
  <c r="AC10" i="49"/>
  <c r="AC83" i="49" s="1"/>
  <c r="C92" i="49"/>
  <c r="I89" i="49"/>
  <c r="W8" i="49"/>
  <c r="W81" i="49" s="1"/>
  <c r="AI8" i="49"/>
  <c r="AI81" i="49" s="1"/>
  <c r="W9" i="49"/>
  <c r="W82" i="49" s="1"/>
  <c r="K10" i="49"/>
  <c r="K83" i="49" s="1"/>
  <c r="AI10" i="49"/>
  <c r="AI83" i="49" s="1"/>
  <c r="K11" i="49"/>
  <c r="K84" i="49" s="1"/>
  <c r="AI11" i="49"/>
  <c r="AI84" i="49" s="1"/>
  <c r="C91" i="49"/>
  <c r="AC8" i="49"/>
  <c r="AC81" i="49" s="1"/>
  <c r="E10" i="49"/>
  <c r="E83" i="49" s="1"/>
  <c r="AC9" i="49"/>
  <c r="AC82" i="49" s="1"/>
  <c r="C90" i="49"/>
  <c r="W10" i="49"/>
  <c r="W83" i="49" s="1"/>
  <c r="K9" i="49"/>
  <c r="K82" i="49" s="1"/>
  <c r="AI9" i="49"/>
  <c r="AI82" i="49" s="1"/>
  <c r="K8" i="49"/>
  <c r="K81" i="49" s="1"/>
  <c r="C87" i="49"/>
  <c r="C44" i="49"/>
  <c r="C89" i="49"/>
  <c r="H14" i="49"/>
  <c r="H15" i="49" s="1"/>
  <c r="N14" i="49" s="1"/>
  <c r="C88" i="49"/>
  <c r="D44" i="49"/>
  <c r="C45" i="49"/>
  <c r="I87" i="49"/>
  <c r="G42" i="48"/>
  <c r="A45" i="48" s="1"/>
  <c r="S42" i="48"/>
  <c r="P10" i="48"/>
  <c r="P11" i="48"/>
  <c r="D36" i="48"/>
  <c r="D130" i="48" s="1"/>
  <c r="P38" i="48"/>
  <c r="P132" i="48" s="1"/>
  <c r="P104" i="48"/>
  <c r="P37" i="48"/>
  <c r="P131" i="48" s="1"/>
  <c r="G129" i="48"/>
  <c r="S129" i="48"/>
  <c r="M19" i="48"/>
  <c r="P12" i="48"/>
  <c r="P106" i="48" s="1"/>
  <c r="D10" i="48"/>
  <c r="D12" i="48"/>
  <c r="D106" i="48" s="1"/>
  <c r="P36" i="48"/>
  <c r="P130" i="48" s="1"/>
  <c r="D38" i="48"/>
  <c r="D132" i="48" s="1"/>
  <c r="D9" i="48"/>
  <c r="D11" i="48"/>
  <c r="D35" i="48"/>
  <c r="D129" i="48" s="1"/>
  <c r="A129" i="48" s="1"/>
  <c r="D37" i="48"/>
  <c r="D131" i="48" s="1"/>
  <c r="J103" i="48"/>
  <c r="V103" i="48"/>
  <c r="J105" i="48"/>
  <c r="G105" i="48" s="1"/>
  <c r="V105" i="48"/>
  <c r="C94" i="48"/>
  <c r="J104" i="48"/>
  <c r="V104" i="48"/>
  <c r="J106" i="48"/>
  <c r="V106" i="48"/>
  <c r="B90" i="48"/>
  <c r="D103" i="48"/>
  <c r="P103" i="48"/>
  <c r="D105" i="48"/>
  <c r="P105" i="48"/>
  <c r="D104" i="48"/>
  <c r="C90" i="48"/>
  <c r="C97" i="48"/>
  <c r="C93" i="48"/>
  <c r="B98" i="48"/>
  <c r="C89" i="48"/>
  <c r="B94" i="48"/>
  <c r="C98" i="48"/>
  <c r="G104" i="48"/>
  <c r="G106" i="48"/>
  <c r="G130" i="48"/>
  <c r="G131" i="48"/>
  <c r="G132" i="48"/>
  <c r="A159" i="48"/>
  <c r="M159" i="48"/>
  <c r="A160" i="48"/>
  <c r="M160" i="48"/>
  <c r="A161" i="48"/>
  <c r="M161" i="48"/>
  <c r="B70" i="48"/>
  <c r="I70" i="48"/>
  <c r="B71" i="48"/>
  <c r="I71" i="48"/>
  <c r="B74" i="48"/>
  <c r="I74" i="48"/>
  <c r="B75" i="48"/>
  <c r="I75" i="48"/>
  <c r="B78" i="48"/>
  <c r="I78" i="48"/>
  <c r="B79" i="48"/>
  <c r="N97" i="48"/>
  <c r="N93" i="48"/>
  <c r="N89" i="48"/>
  <c r="N184" i="48"/>
  <c r="B89" i="48"/>
  <c r="I90" i="48"/>
  <c r="B93" i="48"/>
  <c r="I94" i="48"/>
  <c r="B97" i="48"/>
  <c r="M130" i="48"/>
  <c r="M131" i="48"/>
  <c r="M132" i="48"/>
  <c r="U79" i="48"/>
  <c r="T160" i="48"/>
  <c r="C70" i="48"/>
  <c r="T70" i="48"/>
  <c r="C71" i="48"/>
  <c r="T71" i="48"/>
  <c r="C74" i="48"/>
  <c r="T74" i="48"/>
  <c r="C75" i="48"/>
  <c r="T75" i="48"/>
  <c r="C78" i="48"/>
  <c r="T78" i="48"/>
  <c r="C79" i="48"/>
  <c r="O79" i="48"/>
  <c r="A185" i="48"/>
  <c r="M185" i="48"/>
  <c r="A186" i="48"/>
  <c r="M186" i="48"/>
  <c r="A187" i="48"/>
  <c r="M187" i="48"/>
  <c r="T89" i="48"/>
  <c r="T93" i="48"/>
  <c r="T97" i="48"/>
  <c r="S104" i="48"/>
  <c r="S105" i="48"/>
  <c r="S106" i="48"/>
  <c r="S130" i="48"/>
  <c r="S131" i="48"/>
  <c r="S132" i="48"/>
  <c r="G159" i="48"/>
  <c r="S159" i="48"/>
  <c r="G160" i="48"/>
  <c r="S160" i="48"/>
  <c r="G161" i="48"/>
  <c r="S161" i="48"/>
  <c r="N70" i="48"/>
  <c r="U70" i="48"/>
  <c r="N71" i="48"/>
  <c r="U71" i="48"/>
  <c r="N74" i="48"/>
  <c r="U74" i="48"/>
  <c r="U75" i="48"/>
  <c r="N78" i="48"/>
  <c r="U78" i="48"/>
  <c r="H79" i="48"/>
  <c r="H184" i="48"/>
  <c r="H97" i="48"/>
  <c r="H93" i="48"/>
  <c r="H89" i="48"/>
  <c r="H185" i="48"/>
  <c r="H98" i="48"/>
  <c r="H94" i="48"/>
  <c r="U89" i="48"/>
  <c r="T185" i="48"/>
  <c r="H186" i="48"/>
  <c r="H90" i="48"/>
  <c r="U98" i="48"/>
  <c r="U93" i="48"/>
  <c r="T186" i="48"/>
  <c r="U97" i="48"/>
  <c r="U94" i="48"/>
  <c r="U90" i="48"/>
  <c r="T187" i="48"/>
  <c r="I89" i="48"/>
  <c r="I93" i="48"/>
  <c r="I97" i="48"/>
  <c r="A104" i="48"/>
  <c r="A105" i="48"/>
  <c r="A106" i="48"/>
  <c r="A130" i="48"/>
  <c r="A131" i="48"/>
  <c r="A132" i="48"/>
  <c r="N79" i="48"/>
  <c r="N159" i="48"/>
  <c r="H70" i="48"/>
  <c r="O70" i="48"/>
  <c r="H71" i="48"/>
  <c r="O71" i="48"/>
  <c r="H74" i="48"/>
  <c r="O74" i="48"/>
  <c r="H75" i="48"/>
  <c r="O75" i="48"/>
  <c r="H78" i="48"/>
  <c r="O78" i="48"/>
  <c r="I79" i="48"/>
  <c r="T79" i="48"/>
  <c r="G185" i="48"/>
  <c r="S185" i="48"/>
  <c r="G186" i="48"/>
  <c r="S186" i="48"/>
  <c r="G187" i="48"/>
  <c r="S187" i="48"/>
  <c r="T90" i="48"/>
  <c r="T94" i="48"/>
  <c r="T98" i="48"/>
  <c r="O89" i="48"/>
  <c r="O90" i="48"/>
  <c r="O93" i="48"/>
  <c r="O94" i="48"/>
  <c r="O97" i="48"/>
  <c r="O98" i="48"/>
  <c r="N185" i="48"/>
  <c r="N186" i="48"/>
  <c r="N94" i="48"/>
  <c r="P37" i="42"/>
  <c r="P131" i="42" s="1"/>
  <c r="P39" i="42"/>
  <c r="P133" i="42" s="1"/>
  <c r="D87" i="42"/>
  <c r="D188" i="42" s="1"/>
  <c r="T90" i="42"/>
  <c r="J84" i="42"/>
  <c r="J185" i="42" s="1"/>
  <c r="V84" i="42"/>
  <c r="V185" i="42" s="1"/>
  <c r="J86" i="42"/>
  <c r="J187" i="42" s="1"/>
  <c r="V86" i="42"/>
  <c r="V187" i="42" s="1"/>
  <c r="J85" i="42"/>
  <c r="J186" i="42" s="1"/>
  <c r="V85" i="42"/>
  <c r="V186" i="42" s="1"/>
  <c r="U95" i="42"/>
  <c r="V68" i="42"/>
  <c r="V162" i="42" s="1"/>
  <c r="J67" i="42"/>
  <c r="J161" i="42" s="1"/>
  <c r="V67" i="42"/>
  <c r="V161" i="42" s="1"/>
  <c r="V87" i="42"/>
  <c r="V188" i="42" s="1"/>
  <c r="T80" i="42"/>
  <c r="D10" i="42"/>
  <c r="D104" i="42" s="1"/>
  <c r="P10" i="42"/>
  <c r="P104" i="42" s="1"/>
  <c r="P11" i="42"/>
  <c r="P105" i="42" s="1"/>
  <c r="D36" i="42"/>
  <c r="D130" i="42" s="1"/>
  <c r="P36" i="42"/>
  <c r="P130" i="42" s="1"/>
  <c r="P67" i="42"/>
  <c r="P161" i="42" s="1"/>
  <c r="P66" i="42"/>
  <c r="P160" i="42" s="1"/>
  <c r="G188" i="42"/>
  <c r="S186" i="42"/>
  <c r="S16" i="42"/>
  <c r="T98" i="42"/>
  <c r="D12" i="42"/>
  <c r="D106" i="42" s="1"/>
  <c r="A106" i="42" s="1"/>
  <c r="P12" i="42"/>
  <c r="P106" i="42" s="1"/>
  <c r="M106" i="42" s="1"/>
  <c r="D38" i="42"/>
  <c r="D132" i="42" s="1"/>
  <c r="P38" i="42"/>
  <c r="P132" i="42" s="1"/>
  <c r="M132" i="42" s="1"/>
  <c r="D65" i="42"/>
  <c r="D159" i="42" s="1"/>
  <c r="P65" i="42"/>
  <c r="P159" i="42" s="1"/>
  <c r="M159" i="42" s="1"/>
  <c r="D67" i="42"/>
  <c r="D161" i="42" s="1"/>
  <c r="D66" i="42"/>
  <c r="D160" i="42" s="1"/>
  <c r="S105" i="42"/>
  <c r="S107" i="42"/>
  <c r="G130" i="42"/>
  <c r="S159" i="42"/>
  <c r="U71" i="42"/>
  <c r="T79" i="42"/>
  <c r="N94" i="42"/>
  <c r="H99" i="42"/>
  <c r="J10" i="42"/>
  <c r="J104" i="42" s="1"/>
  <c r="J12" i="42"/>
  <c r="J106" i="42" s="1"/>
  <c r="V36" i="42"/>
  <c r="V130" i="42" s="1"/>
  <c r="V38" i="42"/>
  <c r="V132" i="42" s="1"/>
  <c r="S106" i="42"/>
  <c r="V32" i="42" s="1"/>
  <c r="U72" i="42"/>
  <c r="U79" i="42"/>
  <c r="O99" i="42"/>
  <c r="J11" i="42"/>
  <c r="J105" i="42" s="1"/>
  <c r="J13" i="42"/>
  <c r="J107" i="42" s="1"/>
  <c r="V37" i="42"/>
  <c r="V131" i="42" s="1"/>
  <c r="V39" i="42"/>
  <c r="V133" i="42" s="1"/>
  <c r="S133" i="42" s="1"/>
  <c r="P87" i="42"/>
  <c r="P188" i="42" s="1"/>
  <c r="G16" i="42"/>
  <c r="O75" i="42"/>
  <c r="M160" i="42"/>
  <c r="G104" i="42"/>
  <c r="G159" i="42"/>
  <c r="G107" i="42"/>
  <c r="G133" i="42"/>
  <c r="S160" i="42"/>
  <c r="S185" i="42"/>
  <c r="A104" i="42"/>
  <c r="A107" i="42"/>
  <c r="G185" i="42"/>
  <c r="G131" i="42"/>
  <c r="H56" i="42" s="1"/>
  <c r="S162" i="42"/>
  <c r="S187" i="42"/>
  <c r="S188" i="42"/>
  <c r="A105" i="42"/>
  <c r="D30" i="42" s="1"/>
  <c r="B71" i="42"/>
  <c r="H72" i="42"/>
  <c r="U75" i="42"/>
  <c r="T76" i="42"/>
  <c r="H71" i="42"/>
  <c r="H75" i="42"/>
  <c r="U76" i="42"/>
  <c r="H80" i="42"/>
  <c r="N91" i="42"/>
  <c r="O94" i="42"/>
  <c r="U98" i="42"/>
  <c r="G42" i="42"/>
  <c r="G43" i="42" s="1"/>
  <c r="A46" i="42" s="1"/>
  <c r="G132" i="42"/>
  <c r="S161" i="42"/>
  <c r="M104" i="42"/>
  <c r="P29" i="42" s="1"/>
  <c r="M105" i="42"/>
  <c r="M107" i="42"/>
  <c r="A130" i="42"/>
  <c r="A131" i="42"/>
  <c r="D56" i="42" s="1"/>
  <c r="A133" i="42"/>
  <c r="I71" i="42"/>
  <c r="H76" i="42"/>
  <c r="H79" i="42"/>
  <c r="T91" i="42"/>
  <c r="P84" i="42"/>
  <c r="P185" i="42" s="1"/>
  <c r="D86" i="42"/>
  <c r="D187" i="42" s="1"/>
  <c r="P86" i="42"/>
  <c r="P187" i="42" s="1"/>
  <c r="D85" i="42"/>
  <c r="D186" i="42" s="1"/>
  <c r="P85" i="42"/>
  <c r="P186" i="42" s="1"/>
  <c r="S42" i="42"/>
  <c r="S43" i="42" s="1"/>
  <c r="S17" i="42"/>
  <c r="A20" i="42" s="1"/>
  <c r="D31" i="42"/>
  <c r="H55" i="42"/>
  <c r="J55" i="42"/>
  <c r="G187" i="42"/>
  <c r="N29" i="42"/>
  <c r="B55" i="42"/>
  <c r="D84" i="42"/>
  <c r="D185" i="42" s="1"/>
  <c r="T29" i="42"/>
  <c r="T30" i="42"/>
  <c r="T31" i="42"/>
  <c r="T32" i="42"/>
  <c r="B159" i="42"/>
  <c r="B79" i="42"/>
  <c r="N159" i="42"/>
  <c r="N75" i="42"/>
  <c r="N71" i="42"/>
  <c r="N79" i="42"/>
  <c r="B160" i="42"/>
  <c r="B80" i="42"/>
  <c r="B76" i="42"/>
  <c r="C71" i="42"/>
  <c r="N160" i="42"/>
  <c r="N80" i="42"/>
  <c r="B161" i="42"/>
  <c r="C80" i="42"/>
  <c r="C75" i="42"/>
  <c r="N161" i="42"/>
  <c r="N72" i="42"/>
  <c r="B162" i="42"/>
  <c r="C79" i="42"/>
  <c r="C72" i="42"/>
  <c r="N162" i="42"/>
  <c r="O79" i="42"/>
  <c r="O76" i="42"/>
  <c r="O71" i="42"/>
  <c r="B72" i="42"/>
  <c r="H90" i="42"/>
  <c r="T186" i="42"/>
  <c r="T95" i="42"/>
  <c r="N188" i="42"/>
  <c r="O98" i="42"/>
  <c r="O95" i="42"/>
  <c r="U90" i="42"/>
  <c r="O91" i="42"/>
  <c r="M161" i="42"/>
  <c r="V29" i="42"/>
  <c r="V30" i="42"/>
  <c r="V31" i="42"/>
  <c r="G160" i="42"/>
  <c r="G161" i="42"/>
  <c r="G162" i="42"/>
  <c r="G186" i="42"/>
  <c r="B186" i="42"/>
  <c r="B99" i="42"/>
  <c r="B95" i="42"/>
  <c r="C90" i="42"/>
  <c r="B188" i="42"/>
  <c r="C91" i="42"/>
  <c r="C98" i="42"/>
  <c r="T99" i="42"/>
  <c r="M162" i="42"/>
  <c r="H185" i="42"/>
  <c r="H94" i="42"/>
  <c r="N186" i="42"/>
  <c r="N99" i="42"/>
  <c r="O90" i="42"/>
  <c r="H187" i="42"/>
  <c r="I99" i="42"/>
  <c r="I94" i="42"/>
  <c r="C95" i="42"/>
  <c r="H161" i="42"/>
  <c r="I80" i="42"/>
  <c r="H162" i="42"/>
  <c r="I79" i="42"/>
  <c r="I76" i="42"/>
  <c r="T71" i="42"/>
  <c r="T72" i="42"/>
  <c r="T75" i="42"/>
  <c r="U80" i="42"/>
  <c r="H186" i="42"/>
  <c r="I90" i="42"/>
  <c r="N90" i="42"/>
  <c r="U91" i="42"/>
  <c r="T94" i="42"/>
  <c r="N98" i="42"/>
  <c r="U99" i="42"/>
  <c r="B185" i="42"/>
  <c r="B98" i="42"/>
  <c r="B94" i="42"/>
  <c r="B90" i="42"/>
  <c r="B187" i="42"/>
  <c r="B91" i="42"/>
  <c r="H188" i="42"/>
  <c r="I98" i="42"/>
  <c r="I95" i="42"/>
  <c r="I91" i="42"/>
  <c r="U94" i="42"/>
  <c r="C99" i="42"/>
  <c r="J89" i="41"/>
  <c r="J216" i="41" s="1"/>
  <c r="J66" i="41"/>
  <c r="J191" i="41" s="1"/>
  <c r="U72" i="41"/>
  <c r="U76" i="41"/>
  <c r="I75" i="41"/>
  <c r="O79" i="41"/>
  <c r="H192" i="41"/>
  <c r="U79" i="41"/>
  <c r="M75" i="41"/>
  <c r="A76" i="41"/>
  <c r="O71" i="41"/>
  <c r="S71" i="41"/>
  <c r="U99" i="41"/>
  <c r="H104" i="41"/>
  <c r="T192" i="41"/>
  <c r="V66" i="41"/>
  <c r="V191" i="41" s="1"/>
  <c r="J13" i="41"/>
  <c r="J138" i="41" s="1"/>
  <c r="H80" i="41"/>
  <c r="S72" i="41"/>
  <c r="T218" i="41"/>
  <c r="N72" i="41"/>
  <c r="O75" i="41"/>
  <c r="H79" i="41"/>
  <c r="I80" i="41"/>
  <c r="I95" i="41"/>
  <c r="O103" i="41"/>
  <c r="I104" i="41"/>
  <c r="J65" i="41"/>
  <c r="J190" i="41" s="1"/>
  <c r="M71" i="41"/>
  <c r="A95" i="41"/>
  <c r="B219" i="41"/>
  <c r="T72" i="41"/>
  <c r="N80" i="41"/>
  <c r="C96" i="41"/>
  <c r="I99" i="41"/>
  <c r="I100" i="41"/>
  <c r="O104" i="41"/>
  <c r="H191" i="41"/>
  <c r="T191" i="41"/>
  <c r="N192" i="41"/>
  <c r="U71" i="41"/>
  <c r="N96" i="41"/>
  <c r="H218" i="41"/>
  <c r="I71" i="41"/>
  <c r="O99" i="41"/>
  <c r="I103" i="41"/>
  <c r="P92" i="41"/>
  <c r="P219" i="41" s="1"/>
  <c r="J92" i="41"/>
  <c r="J219" i="41" s="1"/>
  <c r="D91" i="41"/>
  <c r="D218" i="41" s="1"/>
  <c r="D90" i="41"/>
  <c r="D217" i="41" s="1"/>
  <c r="V67" i="41"/>
  <c r="V192" i="41" s="1"/>
  <c r="V68" i="41"/>
  <c r="V193" i="41" s="1"/>
  <c r="V65" i="41"/>
  <c r="V190" i="41" s="1"/>
  <c r="P67" i="41"/>
  <c r="P192" i="41" s="1"/>
  <c r="P66" i="41"/>
  <c r="P191" i="41" s="1"/>
  <c r="J67" i="41"/>
  <c r="J192" i="41" s="1"/>
  <c r="T75" i="41"/>
  <c r="U95" i="41"/>
  <c r="T104" i="41"/>
  <c r="T217" i="41"/>
  <c r="T103" i="41"/>
  <c r="T95" i="41"/>
  <c r="T99" i="41"/>
  <c r="H95" i="41"/>
  <c r="H99" i="41"/>
  <c r="H216" i="41"/>
  <c r="C100" i="41"/>
  <c r="C95" i="41"/>
  <c r="B100" i="41"/>
  <c r="B104" i="41"/>
  <c r="D67" i="41"/>
  <c r="D192" i="41" s="1"/>
  <c r="H75" i="41"/>
  <c r="T190" i="41"/>
  <c r="T79" i="41"/>
  <c r="H190" i="41"/>
  <c r="D68" i="41"/>
  <c r="D193" i="41" s="1"/>
  <c r="D92" i="41"/>
  <c r="D219" i="41" s="1"/>
  <c r="P37" i="41"/>
  <c r="P162" i="41" s="1"/>
  <c r="D89" i="41"/>
  <c r="D216" i="41" s="1"/>
  <c r="V13" i="41"/>
  <c r="V138" i="41" s="1"/>
  <c r="V12" i="41"/>
  <c r="V137" i="41" s="1"/>
  <c r="J39" i="41"/>
  <c r="J164" i="41" s="1"/>
  <c r="D10" i="41"/>
  <c r="D135" i="41" s="1"/>
  <c r="V10" i="41"/>
  <c r="V135" i="41" s="1"/>
  <c r="J11" i="41"/>
  <c r="J136" i="41" s="1"/>
  <c r="V11" i="41"/>
  <c r="V136" i="41" s="1"/>
  <c r="J36" i="41"/>
  <c r="J161" i="41" s="1"/>
  <c r="J38" i="41"/>
  <c r="J163" i="41" s="1"/>
  <c r="J37" i="41"/>
  <c r="J162" i="41" s="1"/>
  <c r="D65" i="41"/>
  <c r="D190" i="41" s="1"/>
  <c r="P65" i="41"/>
  <c r="P190" i="41" s="1"/>
  <c r="J10" i="41"/>
  <c r="J135" i="41" s="1"/>
  <c r="J12" i="41"/>
  <c r="J137" i="41" s="1"/>
  <c r="V36" i="41"/>
  <c r="V161" i="41" s="1"/>
  <c r="D11" i="41"/>
  <c r="D136" i="41" s="1"/>
  <c r="D13" i="41"/>
  <c r="D138" i="41" s="1"/>
  <c r="D12" i="41"/>
  <c r="D137" i="41" s="1"/>
  <c r="P38" i="41"/>
  <c r="P163" i="41" s="1"/>
  <c r="J91" i="41"/>
  <c r="J218" i="41" s="1"/>
  <c r="P13" i="41"/>
  <c r="P138" i="41" s="1"/>
  <c r="D66" i="41"/>
  <c r="D191" i="41" s="1"/>
  <c r="P68" i="41"/>
  <c r="P193" i="41" s="1"/>
  <c r="P89" i="41"/>
  <c r="P216" i="41" s="1"/>
  <c r="P90" i="41"/>
  <c r="P217" i="41" s="1"/>
  <c r="P91" i="41"/>
  <c r="P218" i="41" s="1"/>
  <c r="V37" i="41"/>
  <c r="V162" i="41" s="1"/>
  <c r="V39" i="41"/>
  <c r="V164" i="41" s="1"/>
  <c r="V38" i="41"/>
  <c r="V163" i="41" s="1"/>
  <c r="V89" i="41"/>
  <c r="V216" i="41" s="1"/>
  <c r="V91" i="41"/>
  <c r="V218" i="41" s="1"/>
  <c r="P11" i="41"/>
  <c r="P136" i="41" s="1"/>
  <c r="P12" i="41"/>
  <c r="P137" i="41" s="1"/>
  <c r="V90" i="41"/>
  <c r="V217" i="41" s="1"/>
  <c r="V92" i="41"/>
  <c r="V219" i="41" s="1"/>
  <c r="D38" i="41"/>
  <c r="D163" i="41" s="1"/>
  <c r="D36" i="41"/>
  <c r="D161" i="41" s="1"/>
  <c r="D37" i="41"/>
  <c r="D162" i="41" s="1"/>
  <c r="M161" i="41"/>
  <c r="C79" i="41"/>
  <c r="C72" i="41"/>
  <c r="C76" i="41"/>
  <c r="B76" i="41"/>
  <c r="B192" i="41"/>
  <c r="A20" i="41"/>
  <c r="A21" i="41" s="1"/>
  <c r="G20" i="41" s="1"/>
  <c r="G21" i="41" s="1"/>
  <c r="A24" i="41" s="1"/>
  <c r="A25" i="41" s="1"/>
  <c r="G24" i="41" s="1"/>
  <c r="G25" i="41" s="1"/>
  <c r="M20" i="41"/>
  <c r="M21" i="41" s="1"/>
  <c r="S20" i="41" s="1"/>
  <c r="S21" i="41" s="1"/>
  <c r="M24" i="41" s="1"/>
  <c r="M25" i="41" s="1"/>
  <c r="S24" i="41" s="1"/>
  <c r="S25" i="41" s="1"/>
  <c r="M162" i="41"/>
  <c r="V100" i="45"/>
  <c r="U100" i="45"/>
  <c r="P100" i="45"/>
  <c r="O100" i="45"/>
  <c r="V97" i="45"/>
  <c r="U97" i="45"/>
  <c r="P97" i="45"/>
  <c r="O97" i="45"/>
  <c r="V94" i="45"/>
  <c r="U94" i="45"/>
  <c r="P94" i="45"/>
  <c r="O94" i="45"/>
  <c r="V91" i="45"/>
  <c r="U91" i="45"/>
  <c r="P91" i="45"/>
  <c r="O91" i="45"/>
  <c r="V88" i="45"/>
  <c r="U88" i="45"/>
  <c r="P88" i="45"/>
  <c r="O88" i="45"/>
  <c r="V85" i="45"/>
  <c r="U85" i="45"/>
  <c r="P85" i="45"/>
  <c r="O85" i="45"/>
  <c r="V82" i="45"/>
  <c r="U82" i="45"/>
  <c r="V81" i="45"/>
  <c r="U81" i="45"/>
  <c r="M106" i="48" l="1"/>
  <c r="M104" i="48"/>
  <c r="M105" i="48"/>
  <c r="G106" i="42"/>
  <c r="P55" i="43"/>
  <c r="H56" i="43"/>
  <c r="S105" i="43"/>
  <c r="G103" i="48"/>
  <c r="M129" i="48"/>
  <c r="H57" i="43"/>
  <c r="J28" i="43"/>
  <c r="M105" i="43"/>
  <c r="T55" i="43"/>
  <c r="T56" i="43"/>
  <c r="N54" i="43"/>
  <c r="J56" i="43"/>
  <c r="N56" i="43"/>
  <c r="V57" i="43"/>
  <c r="V55" i="43"/>
  <c r="V56" i="43"/>
  <c r="N57" i="43"/>
  <c r="S106" i="43"/>
  <c r="S103" i="43"/>
  <c r="N30" i="43"/>
  <c r="P30" i="43"/>
  <c r="N29" i="43"/>
  <c r="P29" i="43"/>
  <c r="N28" i="43"/>
  <c r="P28" i="43"/>
  <c r="M106" i="43"/>
  <c r="N31" i="43" s="1"/>
  <c r="V31" i="43"/>
  <c r="T29" i="43"/>
  <c r="J29" i="43"/>
  <c r="J30" i="43"/>
  <c r="H30" i="43"/>
  <c r="H31" i="43"/>
  <c r="J31" i="43"/>
  <c r="H29" i="43"/>
  <c r="A103" i="43"/>
  <c r="D28" i="43" s="1"/>
  <c r="A105" i="43"/>
  <c r="A106" i="43"/>
  <c r="A104" i="43"/>
  <c r="M20" i="43"/>
  <c r="S19" i="43"/>
  <c r="S20" i="43" s="1"/>
  <c r="P56" i="43"/>
  <c r="A46" i="43"/>
  <c r="G45" i="43"/>
  <c r="G46" i="43" s="1"/>
  <c r="A49" i="43" s="1"/>
  <c r="M45" i="43"/>
  <c r="A20" i="43"/>
  <c r="G20" i="43" s="1"/>
  <c r="A23" i="43" s="1"/>
  <c r="G19" i="43"/>
  <c r="N55" i="43"/>
  <c r="P57" i="43"/>
  <c r="D57" i="43"/>
  <c r="D56" i="43"/>
  <c r="B55" i="43"/>
  <c r="B54" i="43"/>
  <c r="B56" i="43"/>
  <c r="B57" i="43"/>
  <c r="D55" i="43"/>
  <c r="D54" i="43"/>
  <c r="S190" i="41"/>
  <c r="S137" i="41"/>
  <c r="N81" i="49"/>
  <c r="Z81" i="49"/>
  <c r="N88" i="49"/>
  <c r="N92" i="49"/>
  <c r="N89" i="49"/>
  <c r="N87" i="49"/>
  <c r="N90" i="49"/>
  <c r="N91" i="49"/>
  <c r="T90" i="49"/>
  <c r="T88" i="49"/>
  <c r="T92" i="49"/>
  <c r="T89" i="49"/>
  <c r="T87" i="49"/>
  <c r="T91" i="49"/>
  <c r="H87" i="49"/>
  <c r="H91" i="49"/>
  <c r="H92" i="49"/>
  <c r="H90" i="49"/>
  <c r="B84" i="49"/>
  <c r="Z84" i="49"/>
  <c r="Z83" i="49"/>
  <c r="N82" i="49"/>
  <c r="H88" i="49"/>
  <c r="AA27" i="49"/>
  <c r="AC27" i="49"/>
  <c r="N83" i="49"/>
  <c r="Z82" i="49"/>
  <c r="AA28" i="49" s="1"/>
  <c r="N84" i="49"/>
  <c r="Q30" i="49" s="1"/>
  <c r="AF83" i="49"/>
  <c r="H83" i="49"/>
  <c r="H89" i="49"/>
  <c r="AF84" i="49"/>
  <c r="AF82" i="49"/>
  <c r="H82" i="49"/>
  <c r="AF81" i="49"/>
  <c r="AG27" i="49" s="1"/>
  <c r="B90" i="49"/>
  <c r="B91" i="49"/>
  <c r="H84" i="49"/>
  <c r="H81" i="49"/>
  <c r="I27" i="49" s="1"/>
  <c r="B81" i="49"/>
  <c r="B83" i="49"/>
  <c r="B82" i="49"/>
  <c r="B89" i="49"/>
  <c r="B92" i="49"/>
  <c r="T84" i="49"/>
  <c r="T82" i="49"/>
  <c r="T81" i="49"/>
  <c r="T83" i="49"/>
  <c r="W30" i="49" s="1"/>
  <c r="B87" i="49"/>
  <c r="B88" i="49"/>
  <c r="Q29" i="49"/>
  <c r="Q28" i="49"/>
  <c r="Q27" i="49"/>
  <c r="O29" i="49"/>
  <c r="O27" i="49"/>
  <c r="O30" i="49"/>
  <c r="O28" i="49"/>
  <c r="K27" i="49"/>
  <c r="T14" i="49"/>
  <c r="N15" i="49"/>
  <c r="T15" i="49" s="1"/>
  <c r="Z14" i="49" s="1"/>
  <c r="A46" i="48"/>
  <c r="G45" i="48" s="1"/>
  <c r="G46" i="48" s="1"/>
  <c r="A49" i="48" s="1"/>
  <c r="M45" i="48"/>
  <c r="N54" i="48"/>
  <c r="N55" i="48"/>
  <c r="N56" i="48"/>
  <c r="N57" i="48"/>
  <c r="P54" i="48"/>
  <c r="P55" i="48"/>
  <c r="P56" i="48"/>
  <c r="P57" i="48"/>
  <c r="S103" i="48"/>
  <c r="T54" i="48"/>
  <c r="T55" i="48"/>
  <c r="T56" i="48"/>
  <c r="T57" i="48"/>
  <c r="V55" i="48"/>
  <c r="V54" i="48"/>
  <c r="V56" i="48"/>
  <c r="V57" i="48"/>
  <c r="H28" i="48"/>
  <c r="H29" i="48"/>
  <c r="H30" i="48"/>
  <c r="H31" i="48"/>
  <c r="J29" i="48"/>
  <c r="J31" i="48"/>
  <c r="J28" i="48"/>
  <c r="J30" i="48"/>
  <c r="B54" i="48"/>
  <c r="B55" i="48"/>
  <c r="B56" i="48"/>
  <c r="B57" i="48"/>
  <c r="D54" i="48"/>
  <c r="D55" i="48"/>
  <c r="D56" i="48"/>
  <c r="D57" i="48"/>
  <c r="H57" i="48"/>
  <c r="H54" i="48"/>
  <c r="H55" i="48"/>
  <c r="H56" i="48"/>
  <c r="J54" i="48"/>
  <c r="J56" i="48"/>
  <c r="J55" i="48"/>
  <c r="J57" i="48"/>
  <c r="M103" i="48"/>
  <c r="M46" i="48"/>
  <c r="S45" i="48" s="1"/>
  <c r="S46" i="48" s="1"/>
  <c r="M20" i="48"/>
  <c r="S19" i="48" s="1"/>
  <c r="S20" i="48" s="1"/>
  <c r="A103" i="48"/>
  <c r="A20" i="48"/>
  <c r="S131" i="42"/>
  <c r="S132" i="42"/>
  <c r="A161" i="42"/>
  <c r="A132" i="42"/>
  <c r="D57" i="42" s="1"/>
  <c r="A47" i="42"/>
  <c r="M46" i="42"/>
  <c r="S46" i="42" s="1"/>
  <c r="P30" i="42"/>
  <c r="N30" i="42"/>
  <c r="H57" i="42"/>
  <c r="B31" i="42"/>
  <c r="M186" i="42"/>
  <c r="M185" i="42"/>
  <c r="B30" i="42"/>
  <c r="A162" i="42"/>
  <c r="B32" i="42"/>
  <c r="P31" i="42"/>
  <c r="N31" i="42"/>
  <c r="N32" i="42"/>
  <c r="M131" i="42"/>
  <c r="S130" i="42"/>
  <c r="A160" i="42"/>
  <c r="G105" i="42"/>
  <c r="H31" i="42" s="1"/>
  <c r="A187" i="42"/>
  <c r="J56" i="42"/>
  <c r="M133" i="42"/>
  <c r="M130" i="42"/>
  <c r="A159" i="42"/>
  <c r="M187" i="42"/>
  <c r="B56" i="42"/>
  <c r="D55" i="42"/>
  <c r="P32" i="42"/>
  <c r="H29" i="42"/>
  <c r="J29" i="42"/>
  <c r="D29" i="42"/>
  <c r="B29" i="42"/>
  <c r="G46" i="42"/>
  <c r="G47" i="42" s="1"/>
  <c r="A50" i="42" s="1"/>
  <c r="A51" i="42" s="1"/>
  <c r="M188" i="42"/>
  <c r="D58" i="42"/>
  <c r="J58" i="42"/>
  <c r="H58" i="42"/>
  <c r="H30" i="42"/>
  <c r="J57" i="42"/>
  <c r="D32" i="42"/>
  <c r="M20" i="42"/>
  <c r="M21" i="42" s="1"/>
  <c r="M47" i="42"/>
  <c r="S47" i="42" s="1"/>
  <c r="G50" i="42"/>
  <c r="A21" i="42"/>
  <c r="G20" i="42"/>
  <c r="A188" i="42"/>
  <c r="A185" i="42"/>
  <c r="A186" i="42"/>
  <c r="G217" i="41"/>
  <c r="G191" i="41"/>
  <c r="S162" i="41"/>
  <c r="S193" i="41"/>
  <c r="G193" i="41"/>
  <c r="G190" i="41"/>
  <c r="M95" i="41"/>
  <c r="A96" i="41"/>
  <c r="G75" i="41"/>
  <c r="M76" i="41"/>
  <c r="G135" i="41"/>
  <c r="H29" i="41" s="1"/>
  <c r="S191" i="41"/>
  <c r="S217" i="41"/>
  <c r="S218" i="41"/>
  <c r="S219" i="41"/>
  <c r="S216" i="41"/>
  <c r="M217" i="41"/>
  <c r="M218" i="41"/>
  <c r="M219" i="41"/>
  <c r="M216" i="41"/>
  <c r="G218" i="41"/>
  <c r="G219" i="41"/>
  <c r="G216" i="41"/>
  <c r="A218" i="41"/>
  <c r="A219" i="41"/>
  <c r="A216" i="41"/>
  <c r="A217" i="41"/>
  <c r="S192" i="41"/>
  <c r="T84" i="41" s="1"/>
  <c r="C121" i="41" s="1"/>
  <c r="T85" i="41"/>
  <c r="I119" i="41" s="1"/>
  <c r="M190" i="41"/>
  <c r="M192" i="41"/>
  <c r="M193" i="41"/>
  <c r="M191" i="41"/>
  <c r="A191" i="41"/>
  <c r="A190" i="41"/>
  <c r="A192" i="41"/>
  <c r="A193" i="41"/>
  <c r="G192" i="41"/>
  <c r="G164" i="41"/>
  <c r="M137" i="41"/>
  <c r="G138" i="41"/>
  <c r="N56" i="41"/>
  <c r="S164" i="41"/>
  <c r="G137" i="41"/>
  <c r="G163" i="41"/>
  <c r="G162" i="41"/>
  <c r="G161" i="41"/>
  <c r="C71" i="41"/>
  <c r="S138" i="41"/>
  <c r="P55" i="41"/>
  <c r="N55" i="41"/>
  <c r="S136" i="41"/>
  <c r="S135" i="41"/>
  <c r="M164" i="41"/>
  <c r="M135" i="41"/>
  <c r="N29" i="41" s="1"/>
  <c r="S161" i="41"/>
  <c r="A135" i="41"/>
  <c r="B29" i="41" s="1"/>
  <c r="N89" i="41" s="1"/>
  <c r="S163" i="41"/>
  <c r="M163" i="41"/>
  <c r="A138" i="41"/>
  <c r="G136" i="41"/>
  <c r="H32" i="41" s="1"/>
  <c r="M136" i="41"/>
  <c r="A137" i="41"/>
  <c r="A136" i="41"/>
  <c r="M138" i="41"/>
  <c r="B80" i="41"/>
  <c r="B191" i="41"/>
  <c r="A164" i="41"/>
  <c r="A162" i="41"/>
  <c r="A163" i="41"/>
  <c r="A161" i="41"/>
  <c r="C80" i="41"/>
  <c r="C75" i="41"/>
  <c r="B72" i="41"/>
  <c r="P56" i="41"/>
  <c r="O103" i="45"/>
  <c r="O104" i="45"/>
  <c r="O105" i="45"/>
  <c r="O106" i="45"/>
  <c r="O107" i="45"/>
  <c r="O108" i="45"/>
  <c r="O109" i="45"/>
  <c r="O110" i="45"/>
  <c r="U103" i="45"/>
  <c r="U104" i="45"/>
  <c r="U105" i="45"/>
  <c r="U106" i="45"/>
  <c r="U107" i="45"/>
  <c r="U108" i="45"/>
  <c r="U109" i="45"/>
  <c r="U110" i="45"/>
  <c r="J100" i="45"/>
  <c r="I100" i="45"/>
  <c r="J97" i="45"/>
  <c r="I97" i="45"/>
  <c r="D100" i="45"/>
  <c r="C100" i="45"/>
  <c r="D97" i="45"/>
  <c r="J94" i="45"/>
  <c r="I94" i="45"/>
  <c r="J91" i="45"/>
  <c r="I91" i="45"/>
  <c r="D94" i="45"/>
  <c r="C94" i="45"/>
  <c r="D91" i="45"/>
  <c r="J85" i="45"/>
  <c r="D85" i="45"/>
  <c r="C85" i="45"/>
  <c r="J82" i="45"/>
  <c r="I82" i="45"/>
  <c r="I81" i="45"/>
  <c r="D82" i="45"/>
  <c r="C82" i="45"/>
  <c r="C97" i="45"/>
  <c r="C91" i="45"/>
  <c r="J88" i="45"/>
  <c r="I88" i="45"/>
  <c r="D88" i="45"/>
  <c r="C88" i="45"/>
  <c r="D81" i="45"/>
  <c r="C81" i="45"/>
  <c r="J78" i="45"/>
  <c r="J77" i="45"/>
  <c r="I85" i="45" s="1"/>
  <c r="J74" i="45"/>
  <c r="J81" i="45" s="1"/>
  <c r="J73" i="45"/>
  <c r="U156" i="45"/>
  <c r="T156" i="45"/>
  <c r="O156" i="45"/>
  <c r="N156" i="45"/>
  <c r="I156" i="45"/>
  <c r="H156" i="45"/>
  <c r="C156" i="45"/>
  <c r="B156" i="45"/>
  <c r="U155" i="45"/>
  <c r="T155" i="45"/>
  <c r="O155" i="45"/>
  <c r="N155" i="45"/>
  <c r="I155" i="45"/>
  <c r="H155" i="45"/>
  <c r="C155" i="45"/>
  <c r="B155" i="45"/>
  <c r="U152" i="45"/>
  <c r="T152" i="45"/>
  <c r="O152" i="45"/>
  <c r="N152" i="45"/>
  <c r="I152" i="45"/>
  <c r="H152" i="45"/>
  <c r="C152" i="45"/>
  <c r="B152" i="45"/>
  <c r="U151" i="45"/>
  <c r="T151" i="45"/>
  <c r="O151" i="45"/>
  <c r="N151" i="45"/>
  <c r="I151" i="45"/>
  <c r="H151" i="45"/>
  <c r="C151" i="45"/>
  <c r="B151" i="45"/>
  <c r="U148" i="45"/>
  <c r="T148" i="45"/>
  <c r="O148" i="45"/>
  <c r="N148" i="45"/>
  <c r="I148" i="45"/>
  <c r="H148" i="45"/>
  <c r="C148" i="45"/>
  <c r="B148" i="45"/>
  <c r="U147" i="45"/>
  <c r="T147" i="45"/>
  <c r="O147" i="45"/>
  <c r="N147" i="45"/>
  <c r="I147" i="45"/>
  <c r="H147" i="45"/>
  <c r="C147" i="45"/>
  <c r="B147" i="45"/>
  <c r="V145" i="45"/>
  <c r="U145" i="45"/>
  <c r="P145" i="45"/>
  <c r="O145" i="45"/>
  <c r="J145" i="45"/>
  <c r="I145" i="45"/>
  <c r="D145" i="45"/>
  <c r="C145" i="45"/>
  <c r="V144" i="45"/>
  <c r="U144" i="45"/>
  <c r="P144" i="45"/>
  <c r="O144" i="45"/>
  <c r="J144" i="45"/>
  <c r="I144" i="45"/>
  <c r="D144" i="45"/>
  <c r="C144" i="45"/>
  <c r="V143" i="45"/>
  <c r="U143" i="45"/>
  <c r="P143" i="45"/>
  <c r="O143" i="45"/>
  <c r="J143" i="45"/>
  <c r="I143" i="45"/>
  <c r="D143" i="45"/>
  <c r="C143" i="45"/>
  <c r="V142" i="45"/>
  <c r="U142" i="45"/>
  <c r="P142" i="45"/>
  <c r="O142" i="45"/>
  <c r="J142" i="45"/>
  <c r="I142" i="45"/>
  <c r="D142" i="45"/>
  <c r="C142" i="45"/>
  <c r="N41" i="45"/>
  <c r="N42" i="45" s="1"/>
  <c r="T41" i="45" s="1"/>
  <c r="T42" i="45" s="1"/>
  <c r="N45" i="45" s="1"/>
  <c r="N46" i="45" s="1"/>
  <c r="T45" i="45" s="1"/>
  <c r="T46" i="45" s="1"/>
  <c r="B41" i="45"/>
  <c r="B42" i="45" s="1"/>
  <c r="H41" i="45" s="1"/>
  <c r="H42" i="45" s="1"/>
  <c r="B45" i="45" s="1"/>
  <c r="B46" i="45" s="1"/>
  <c r="H45" i="45" s="1"/>
  <c r="H46" i="45" s="1"/>
  <c r="B49" i="45" s="1"/>
  <c r="B50" i="45" s="1"/>
  <c r="H49" i="45" s="1"/>
  <c r="H50" i="45" s="1"/>
  <c r="B65" i="45" s="1"/>
  <c r="V50" i="45"/>
  <c r="U50" i="45"/>
  <c r="P50" i="45"/>
  <c r="O50" i="45"/>
  <c r="J50" i="45"/>
  <c r="I50" i="45"/>
  <c r="D50" i="45"/>
  <c r="C50" i="45"/>
  <c r="V49" i="45"/>
  <c r="U49" i="45"/>
  <c r="P49" i="45"/>
  <c r="O49" i="45"/>
  <c r="J49" i="45"/>
  <c r="I49" i="45"/>
  <c r="D49" i="45"/>
  <c r="C49" i="45"/>
  <c r="V46" i="45"/>
  <c r="U46" i="45"/>
  <c r="P46" i="45"/>
  <c r="O46" i="45"/>
  <c r="J46" i="45"/>
  <c r="I46" i="45"/>
  <c r="D46" i="45"/>
  <c r="C46" i="45"/>
  <c r="V45" i="45"/>
  <c r="U45" i="45"/>
  <c r="P45" i="45"/>
  <c r="O45" i="45"/>
  <c r="J45" i="45"/>
  <c r="I45" i="45"/>
  <c r="D45" i="45"/>
  <c r="C45" i="45"/>
  <c r="V42" i="45"/>
  <c r="U42" i="45"/>
  <c r="P42" i="45"/>
  <c r="O42" i="45"/>
  <c r="J42" i="45"/>
  <c r="I42" i="45"/>
  <c r="D42" i="45"/>
  <c r="C42" i="45"/>
  <c r="V41" i="45"/>
  <c r="U41" i="45"/>
  <c r="P41" i="45"/>
  <c r="O41" i="45"/>
  <c r="J41" i="45"/>
  <c r="I41" i="45"/>
  <c r="D41" i="45"/>
  <c r="C41" i="45"/>
  <c r="M4" i="45"/>
  <c r="U130" i="45"/>
  <c r="T130" i="45"/>
  <c r="O130" i="45"/>
  <c r="N130" i="45"/>
  <c r="I130" i="45"/>
  <c r="H130" i="45"/>
  <c r="C130" i="45"/>
  <c r="B130" i="45"/>
  <c r="U129" i="45"/>
  <c r="T129" i="45"/>
  <c r="O129" i="45"/>
  <c r="N129" i="45"/>
  <c r="I129" i="45"/>
  <c r="H129" i="45"/>
  <c r="C129" i="45"/>
  <c r="B129" i="45"/>
  <c r="U126" i="45"/>
  <c r="T126" i="45"/>
  <c r="O126" i="45"/>
  <c r="N126" i="45"/>
  <c r="I126" i="45"/>
  <c r="H126" i="45"/>
  <c r="C126" i="45"/>
  <c r="B126" i="45"/>
  <c r="U125" i="45"/>
  <c r="T125" i="45"/>
  <c r="O125" i="45"/>
  <c r="N125" i="45"/>
  <c r="I125" i="45"/>
  <c r="H125" i="45"/>
  <c r="C125" i="45"/>
  <c r="B125" i="45"/>
  <c r="U122" i="45"/>
  <c r="T122" i="45"/>
  <c r="O122" i="45"/>
  <c r="N122" i="45"/>
  <c r="I122" i="45"/>
  <c r="H122" i="45"/>
  <c r="C122" i="45"/>
  <c r="B122" i="45"/>
  <c r="U121" i="45"/>
  <c r="T121" i="45"/>
  <c r="O121" i="45"/>
  <c r="N121" i="45"/>
  <c r="I121" i="45"/>
  <c r="H121" i="45"/>
  <c r="C121" i="45"/>
  <c r="B121" i="45"/>
  <c r="V119" i="45"/>
  <c r="U119" i="45"/>
  <c r="P119" i="45"/>
  <c r="O119" i="45"/>
  <c r="J119" i="45"/>
  <c r="I119" i="45"/>
  <c r="D119" i="45"/>
  <c r="C119" i="45"/>
  <c r="V118" i="45"/>
  <c r="U118" i="45"/>
  <c r="P118" i="45"/>
  <c r="O118" i="45"/>
  <c r="J118" i="45"/>
  <c r="I118" i="45"/>
  <c r="D118" i="45"/>
  <c r="C118" i="45"/>
  <c r="V117" i="45"/>
  <c r="U117" i="45"/>
  <c r="P117" i="45"/>
  <c r="O117" i="45"/>
  <c r="J117" i="45"/>
  <c r="I117" i="45"/>
  <c r="D117" i="45"/>
  <c r="C117" i="45"/>
  <c r="V116" i="45"/>
  <c r="U116" i="45"/>
  <c r="P116" i="45"/>
  <c r="O116" i="45"/>
  <c r="J116" i="45"/>
  <c r="I116" i="45"/>
  <c r="D116" i="45"/>
  <c r="C116" i="45"/>
  <c r="V24" i="45"/>
  <c r="U24" i="45"/>
  <c r="P24" i="45"/>
  <c r="O24" i="45"/>
  <c r="J24" i="45"/>
  <c r="I24" i="45"/>
  <c r="D24" i="45"/>
  <c r="C24" i="45"/>
  <c r="V23" i="45"/>
  <c r="U23" i="45"/>
  <c r="P23" i="45"/>
  <c r="O23" i="45"/>
  <c r="J23" i="45"/>
  <c r="I23" i="45"/>
  <c r="D23" i="45"/>
  <c r="C23" i="45"/>
  <c r="V20" i="45"/>
  <c r="U20" i="45"/>
  <c r="P20" i="45"/>
  <c r="O20" i="45"/>
  <c r="J20" i="45"/>
  <c r="I20" i="45"/>
  <c r="D20" i="45"/>
  <c r="C20" i="45"/>
  <c r="V19" i="45"/>
  <c r="U19" i="45"/>
  <c r="P19" i="45"/>
  <c r="O19" i="45"/>
  <c r="J19" i="45"/>
  <c r="I19" i="45"/>
  <c r="D19" i="45"/>
  <c r="C19" i="45"/>
  <c r="V16" i="45"/>
  <c r="U16" i="45"/>
  <c r="P16" i="45"/>
  <c r="O16" i="45"/>
  <c r="J16" i="45"/>
  <c r="I16" i="45"/>
  <c r="D16" i="45"/>
  <c r="C16" i="45"/>
  <c r="V15" i="45"/>
  <c r="U15" i="45"/>
  <c r="P15" i="45"/>
  <c r="O15" i="45"/>
  <c r="N15" i="45"/>
  <c r="N16" i="45" s="1"/>
  <c r="T15" i="45" s="1"/>
  <c r="T16" i="45" s="1"/>
  <c r="J15" i="45"/>
  <c r="I15" i="45"/>
  <c r="D15" i="45"/>
  <c r="C15" i="45"/>
  <c r="B15" i="45"/>
  <c r="B16" i="45" s="1"/>
  <c r="H15" i="45" s="1"/>
  <c r="H16" i="45" s="1"/>
  <c r="P58" i="41" l="1"/>
  <c r="J56" i="41"/>
  <c r="M50" i="42"/>
  <c r="S50" i="42" s="1"/>
  <c r="B28" i="43"/>
  <c r="V28" i="43"/>
  <c r="T31" i="43"/>
  <c r="T28" i="43"/>
  <c r="T30" i="43"/>
  <c r="V29" i="43"/>
  <c r="V30" i="43"/>
  <c r="D31" i="43"/>
  <c r="B29" i="43"/>
  <c r="P31" i="43"/>
  <c r="B30" i="43"/>
  <c r="B31" i="43"/>
  <c r="D29" i="43"/>
  <c r="D30" i="43"/>
  <c r="A24" i="43"/>
  <c r="G24" i="43" s="1"/>
  <c r="G23" i="43"/>
  <c r="M23" i="43"/>
  <c r="M46" i="43"/>
  <c r="S45" i="43"/>
  <c r="S46" i="43" s="1"/>
  <c r="A50" i="43"/>
  <c r="G49" i="43"/>
  <c r="G50" i="43" s="1"/>
  <c r="A70" i="43" s="1"/>
  <c r="M49" i="43"/>
  <c r="I28" i="49"/>
  <c r="I29" i="49"/>
  <c r="K70" i="49"/>
  <c r="W73" i="49"/>
  <c r="W72" i="49"/>
  <c r="O74" i="49"/>
  <c r="Q75" i="49"/>
  <c r="O75" i="49"/>
  <c r="O70" i="49"/>
  <c r="O73" i="49"/>
  <c r="Q74" i="49"/>
  <c r="Q70" i="49"/>
  <c r="Q72" i="49"/>
  <c r="O71" i="49"/>
  <c r="Q73" i="49"/>
  <c r="Q71" i="49"/>
  <c r="O72" i="49"/>
  <c r="W75" i="49"/>
  <c r="W74" i="49"/>
  <c r="W71" i="49"/>
  <c r="U75" i="49"/>
  <c r="U71" i="49"/>
  <c r="U72" i="49"/>
  <c r="W70" i="49"/>
  <c r="U74" i="49"/>
  <c r="U70" i="49"/>
  <c r="U73" i="49"/>
  <c r="K74" i="49"/>
  <c r="K73" i="49"/>
  <c r="K71" i="49"/>
  <c r="K72" i="49"/>
  <c r="K75" i="49"/>
  <c r="K29" i="49"/>
  <c r="C28" i="49"/>
  <c r="AG30" i="49"/>
  <c r="I72" i="49"/>
  <c r="I75" i="49"/>
  <c r="I71" i="49"/>
  <c r="I73" i="49"/>
  <c r="I74" i="49"/>
  <c r="I70" i="49"/>
  <c r="E70" i="49"/>
  <c r="AC29" i="49"/>
  <c r="U28" i="49"/>
  <c r="AC30" i="49"/>
  <c r="AA29" i="49"/>
  <c r="E28" i="49"/>
  <c r="AA30" i="49"/>
  <c r="AC28" i="49"/>
  <c r="AI28" i="49"/>
  <c r="W29" i="49"/>
  <c r="E29" i="49"/>
  <c r="AI30" i="49"/>
  <c r="AG28" i="49"/>
  <c r="C74" i="49"/>
  <c r="U27" i="49"/>
  <c r="AI27" i="49"/>
  <c r="AG29" i="49"/>
  <c r="W27" i="49"/>
  <c r="U29" i="49"/>
  <c r="AI29" i="49"/>
  <c r="U30" i="49"/>
  <c r="C71" i="49"/>
  <c r="C70" i="49"/>
  <c r="C30" i="49"/>
  <c r="C27" i="49"/>
  <c r="K28" i="49"/>
  <c r="E30" i="49"/>
  <c r="E27" i="49"/>
  <c r="I30" i="49"/>
  <c r="W28" i="49"/>
  <c r="C29" i="49"/>
  <c r="K30" i="49"/>
  <c r="C72" i="49"/>
  <c r="C75" i="49"/>
  <c r="E72" i="49"/>
  <c r="E75" i="49"/>
  <c r="C73" i="49"/>
  <c r="E71" i="49"/>
  <c r="E74" i="49"/>
  <c r="E73" i="49"/>
  <c r="Z15" i="49"/>
  <c r="AF14" i="49"/>
  <c r="AF15" i="49" s="1"/>
  <c r="B18" i="49" s="1"/>
  <c r="G19" i="48"/>
  <c r="G20" i="48" s="1"/>
  <c r="A23" i="48" s="1"/>
  <c r="M49" i="48"/>
  <c r="M50" i="48" s="1"/>
  <c r="S49" i="48" s="1"/>
  <c r="S50" i="48" s="1"/>
  <c r="A50" i="48"/>
  <c r="G49" i="48" s="1"/>
  <c r="G50" i="48" s="1"/>
  <c r="A70" i="48" s="1"/>
  <c r="N28" i="48"/>
  <c r="N29" i="48"/>
  <c r="N30" i="48"/>
  <c r="N31" i="48"/>
  <c r="P28" i="48"/>
  <c r="P29" i="48"/>
  <c r="P30" i="48"/>
  <c r="P31" i="48"/>
  <c r="B28" i="48"/>
  <c r="B29" i="48"/>
  <c r="B30" i="48"/>
  <c r="B31" i="48"/>
  <c r="D28" i="48"/>
  <c r="D29" i="48"/>
  <c r="D30" i="48"/>
  <c r="D31" i="48"/>
  <c r="T28" i="48"/>
  <c r="T29" i="48"/>
  <c r="T30" i="48"/>
  <c r="T31" i="48"/>
  <c r="V28" i="48"/>
  <c r="V29" i="48"/>
  <c r="V31" i="48"/>
  <c r="V30" i="48"/>
  <c r="B58" i="42"/>
  <c r="B57" i="42"/>
  <c r="V58" i="42"/>
  <c r="T58" i="42"/>
  <c r="V56" i="42"/>
  <c r="V55" i="42"/>
  <c r="T56" i="42"/>
  <c r="T55" i="42"/>
  <c r="J31" i="42"/>
  <c r="V57" i="42"/>
  <c r="P56" i="42"/>
  <c r="N55" i="42"/>
  <c r="N57" i="42"/>
  <c r="N58" i="42"/>
  <c r="P57" i="42"/>
  <c r="P58" i="42"/>
  <c r="N56" i="42"/>
  <c r="P55" i="42"/>
  <c r="T57" i="42"/>
  <c r="H32" i="42"/>
  <c r="J32" i="42"/>
  <c r="J30" i="42"/>
  <c r="S20" i="42"/>
  <c r="S21" i="42" s="1"/>
  <c r="G51" i="42"/>
  <c r="A71" i="42" s="1"/>
  <c r="G21" i="42"/>
  <c r="A24" i="42" s="1"/>
  <c r="V86" i="41"/>
  <c r="T86" i="41"/>
  <c r="C119" i="41" s="1"/>
  <c r="V83" i="41"/>
  <c r="T83" i="41"/>
  <c r="I121" i="41" s="1"/>
  <c r="J29" i="41"/>
  <c r="V107" i="41"/>
  <c r="V110" i="41"/>
  <c r="V108" i="41"/>
  <c r="V109" i="41"/>
  <c r="T107" i="41"/>
  <c r="U121" i="41" s="1"/>
  <c r="T110" i="41"/>
  <c r="O119" i="41" s="1"/>
  <c r="J83" i="41"/>
  <c r="J84" i="41"/>
  <c r="J85" i="41"/>
  <c r="J86" i="41"/>
  <c r="P31" i="41"/>
  <c r="P29" i="41"/>
  <c r="H85" i="41"/>
  <c r="I115" i="41" s="1"/>
  <c r="J107" i="41"/>
  <c r="J108" i="41"/>
  <c r="J109" i="41"/>
  <c r="J110" i="41"/>
  <c r="H107" i="41"/>
  <c r="U117" i="41" s="1"/>
  <c r="H109" i="41"/>
  <c r="U115" i="41" s="1"/>
  <c r="V85" i="41"/>
  <c r="S75" i="41"/>
  <c r="G76" i="41"/>
  <c r="H110" i="41"/>
  <c r="O115" i="41" s="1"/>
  <c r="P107" i="41"/>
  <c r="P109" i="41"/>
  <c r="P108" i="41"/>
  <c r="P110" i="41"/>
  <c r="N108" i="41"/>
  <c r="N121" i="41" s="1"/>
  <c r="N109" i="41"/>
  <c r="T119" i="41" s="1"/>
  <c r="T109" i="41"/>
  <c r="U119" i="41" s="1"/>
  <c r="N32" i="41"/>
  <c r="H83" i="41"/>
  <c r="I117" i="41" s="1"/>
  <c r="D107" i="41"/>
  <c r="D108" i="41"/>
  <c r="D109" i="41"/>
  <c r="D110" i="41"/>
  <c r="B109" i="41"/>
  <c r="T115" i="41" s="1"/>
  <c r="B108" i="41"/>
  <c r="N117" i="41" s="1"/>
  <c r="V84" i="41"/>
  <c r="G95" i="41"/>
  <c r="M96" i="41"/>
  <c r="N57" i="41"/>
  <c r="P83" i="41"/>
  <c r="P85" i="41"/>
  <c r="P86" i="41"/>
  <c r="P84" i="41"/>
  <c r="T108" i="41"/>
  <c r="O121" i="41" s="1"/>
  <c r="H108" i="41"/>
  <c r="O117" i="41" s="1"/>
  <c r="N216" i="41"/>
  <c r="N110" i="41" s="1"/>
  <c r="N119" i="41" s="1"/>
  <c r="N99" i="41"/>
  <c r="N103" i="41"/>
  <c r="N95" i="41"/>
  <c r="D84" i="41"/>
  <c r="D85" i="41"/>
  <c r="D86" i="41"/>
  <c r="D83" i="41"/>
  <c r="N84" i="41"/>
  <c r="B121" i="41" s="1"/>
  <c r="N85" i="41"/>
  <c r="H119" i="41" s="1"/>
  <c r="B84" i="41"/>
  <c r="B117" i="41" s="1"/>
  <c r="B85" i="41"/>
  <c r="H115" i="41" s="1"/>
  <c r="H86" i="41"/>
  <c r="C115" i="41" s="1"/>
  <c r="H84" i="41"/>
  <c r="C117" i="41" s="1"/>
  <c r="B32" i="41"/>
  <c r="B65" i="41" s="1"/>
  <c r="J57" i="41"/>
  <c r="H58" i="41"/>
  <c r="B30" i="41"/>
  <c r="B89" i="41" s="1"/>
  <c r="J58" i="41"/>
  <c r="H57" i="41"/>
  <c r="D29" i="41"/>
  <c r="V55" i="41"/>
  <c r="P57" i="41"/>
  <c r="H56" i="41"/>
  <c r="P30" i="41"/>
  <c r="J55" i="41"/>
  <c r="H55" i="41"/>
  <c r="T29" i="41"/>
  <c r="V29" i="41"/>
  <c r="T57" i="41"/>
  <c r="N58" i="41"/>
  <c r="D31" i="41"/>
  <c r="V57" i="41"/>
  <c r="T32" i="41"/>
  <c r="H30" i="41"/>
  <c r="T56" i="41"/>
  <c r="V30" i="41"/>
  <c r="T31" i="41"/>
  <c r="V31" i="41"/>
  <c r="D30" i="41"/>
  <c r="V32" i="41"/>
  <c r="J30" i="41"/>
  <c r="B31" i="41"/>
  <c r="N65" i="41" s="1"/>
  <c r="J31" i="41"/>
  <c r="V56" i="41"/>
  <c r="T58" i="41"/>
  <c r="H31" i="41"/>
  <c r="D32" i="41"/>
  <c r="T30" i="41"/>
  <c r="J32" i="41"/>
  <c r="V58" i="41"/>
  <c r="T55" i="41"/>
  <c r="N30" i="41"/>
  <c r="P32" i="41"/>
  <c r="N31" i="41"/>
  <c r="B56" i="41"/>
  <c r="D57" i="41"/>
  <c r="D56" i="41"/>
  <c r="B57" i="41"/>
  <c r="D58" i="41"/>
  <c r="B55" i="41"/>
  <c r="D55" i="41"/>
  <c r="B58" i="41"/>
  <c r="K9" i="45"/>
  <c r="K116" i="45" s="1"/>
  <c r="W9" i="45"/>
  <c r="W116" i="45" s="1"/>
  <c r="K11" i="45"/>
  <c r="K118" i="45" s="1"/>
  <c r="W11" i="45"/>
  <c r="W118" i="45" s="1"/>
  <c r="K10" i="45"/>
  <c r="K117" i="45" s="1"/>
  <c r="W10" i="45"/>
  <c r="W117" i="45" s="1"/>
  <c r="K12" i="45"/>
  <c r="K119" i="45" s="1"/>
  <c r="W12" i="45"/>
  <c r="W119" i="45" s="1"/>
  <c r="Q37" i="45"/>
  <c r="W37" i="45"/>
  <c r="W144" i="45" s="1"/>
  <c r="E35" i="45"/>
  <c r="E142" i="45" s="1"/>
  <c r="W36" i="45"/>
  <c r="W143" i="45" s="1"/>
  <c r="W35" i="45"/>
  <c r="W142" i="45" s="1"/>
  <c r="W38" i="45"/>
  <c r="W145" i="45" s="1"/>
  <c r="Q35" i="45"/>
  <c r="Q142" i="45" s="1"/>
  <c r="Q36" i="45"/>
  <c r="Q143" i="45" s="1"/>
  <c r="Q38" i="45"/>
  <c r="Q145" i="45" s="1"/>
  <c r="K37" i="45"/>
  <c r="K35" i="45"/>
  <c r="K142" i="45" s="1"/>
  <c r="K36" i="45"/>
  <c r="K143" i="45" s="1"/>
  <c r="K38" i="45"/>
  <c r="K145" i="45" s="1"/>
  <c r="E9" i="45"/>
  <c r="E116" i="45" s="1"/>
  <c r="E37" i="45"/>
  <c r="E38" i="45"/>
  <c r="E145" i="45" s="1"/>
  <c r="E36" i="45"/>
  <c r="E143" i="45" s="1"/>
  <c r="E10" i="45"/>
  <c r="E117" i="45" s="1"/>
  <c r="Q12" i="45"/>
  <c r="Q119" i="45" s="1"/>
  <c r="E11" i="45"/>
  <c r="E118" i="45" s="1"/>
  <c r="E12" i="45"/>
  <c r="E119" i="45" s="1"/>
  <c r="Q9" i="45"/>
  <c r="Q116" i="45" s="1"/>
  <c r="Q11" i="45"/>
  <c r="Q118" i="45" s="1"/>
  <c r="Q10" i="45"/>
  <c r="Q117" i="45" s="1"/>
  <c r="B19" i="45"/>
  <c r="B20" i="45" s="1"/>
  <c r="H19" i="45" s="1"/>
  <c r="H20" i="45" s="1"/>
  <c r="B23" i="45" s="1"/>
  <c r="B24" i="45" s="1"/>
  <c r="H23" i="45" s="1"/>
  <c r="H24" i="45" s="1"/>
  <c r="N19" i="45"/>
  <c r="N20" i="45" s="1"/>
  <c r="T19" i="45" s="1"/>
  <c r="T20" i="45" s="1"/>
  <c r="N23" i="45" s="1"/>
  <c r="N24" i="45" s="1"/>
  <c r="T23" i="45" s="1"/>
  <c r="T24" i="45" s="1"/>
  <c r="N65" i="45" s="1"/>
  <c r="V15" i="39"/>
  <c r="M23" i="48" l="1"/>
  <c r="A24" i="48"/>
  <c r="G23" i="48" s="1"/>
  <c r="G24" i="48" s="1"/>
  <c r="M51" i="42"/>
  <c r="S51" i="42" s="1"/>
  <c r="G70" i="43"/>
  <c r="A71" i="43"/>
  <c r="M71" i="43" s="1"/>
  <c r="A89" i="43"/>
  <c r="M70" i="43"/>
  <c r="M24" i="43"/>
  <c r="S23" i="43"/>
  <c r="S24" i="43" s="1"/>
  <c r="M50" i="43"/>
  <c r="S49" i="43"/>
  <c r="S50" i="43" s="1"/>
  <c r="N107" i="41"/>
  <c r="T121" i="41" s="1"/>
  <c r="B19" i="49"/>
  <c r="H19" i="49"/>
  <c r="N18" i="49" s="1"/>
  <c r="H18" i="49"/>
  <c r="S24" i="48"/>
  <c r="M24" i="48"/>
  <c r="S23" i="48" s="1"/>
  <c r="A89" i="48"/>
  <c r="A71" i="48"/>
  <c r="M70" i="48"/>
  <c r="A90" i="42"/>
  <c r="G90" i="42" s="1"/>
  <c r="G71" i="42"/>
  <c r="M71" i="42"/>
  <c r="A72" i="42"/>
  <c r="M72" i="42" s="1"/>
  <c r="M90" i="42"/>
  <c r="A91" i="42"/>
  <c r="A25" i="42"/>
  <c r="G25" i="42" s="1"/>
  <c r="M24" i="42"/>
  <c r="G24" i="42"/>
  <c r="A79" i="41"/>
  <c r="S76" i="41"/>
  <c r="G96" i="41"/>
  <c r="S95" i="41"/>
  <c r="N190" i="41"/>
  <c r="N75" i="41"/>
  <c r="N71" i="41"/>
  <c r="N79" i="41"/>
  <c r="B71" i="41"/>
  <c r="B75" i="41"/>
  <c r="B79" i="41"/>
  <c r="B190" i="41"/>
  <c r="B216" i="41"/>
  <c r="B99" i="41"/>
  <c r="B95" i="41"/>
  <c r="B103" i="41"/>
  <c r="T65" i="45"/>
  <c r="T66" i="45" s="1"/>
  <c r="N66" i="45"/>
  <c r="T116" i="45"/>
  <c r="W28" i="45" s="1"/>
  <c r="H118" i="45"/>
  <c r="H116" i="45"/>
  <c r="K28" i="45" s="1"/>
  <c r="T117" i="45"/>
  <c r="T119" i="45"/>
  <c r="T118" i="45"/>
  <c r="H119" i="45"/>
  <c r="H117" i="45"/>
  <c r="K144" i="45"/>
  <c r="H144" i="45" s="1"/>
  <c r="B119" i="45"/>
  <c r="N118" i="45"/>
  <c r="Q144" i="45"/>
  <c r="N144" i="45" s="1"/>
  <c r="T144" i="45"/>
  <c r="T145" i="45"/>
  <c r="T142" i="45"/>
  <c r="T143" i="45"/>
  <c r="B116" i="45"/>
  <c r="E28" i="45" s="1"/>
  <c r="N119" i="45"/>
  <c r="B118" i="45"/>
  <c r="N117" i="45"/>
  <c r="B117" i="45"/>
  <c r="N49" i="45"/>
  <c r="N50" i="45" s="1"/>
  <c r="T49" i="45" s="1"/>
  <c r="T50" i="45" s="1"/>
  <c r="N116" i="45"/>
  <c r="O28" i="45" s="1"/>
  <c r="AH23" i="39"/>
  <c r="AG23" i="39"/>
  <c r="AH22" i="39"/>
  <c r="AG22" i="39"/>
  <c r="AH19" i="39"/>
  <c r="AG19" i="39"/>
  <c r="AH18" i="39"/>
  <c r="AG18" i="39"/>
  <c r="AH15" i="39"/>
  <c r="AG15" i="39"/>
  <c r="AH14" i="39"/>
  <c r="AG14" i="39"/>
  <c r="AB23" i="39"/>
  <c r="AA23" i="39"/>
  <c r="AB22" i="39"/>
  <c r="AA22" i="39"/>
  <c r="AB19" i="39"/>
  <c r="AA19" i="39"/>
  <c r="AB18" i="39"/>
  <c r="AA18" i="39"/>
  <c r="AB15" i="39"/>
  <c r="AA15" i="39"/>
  <c r="AB14" i="39"/>
  <c r="AA14" i="39"/>
  <c r="V23" i="39"/>
  <c r="U23" i="39"/>
  <c r="V22" i="39"/>
  <c r="U22" i="39"/>
  <c r="V19" i="39"/>
  <c r="U19" i="39"/>
  <c r="V18" i="39"/>
  <c r="U18" i="39"/>
  <c r="U15" i="39"/>
  <c r="V14" i="39"/>
  <c r="U14" i="39"/>
  <c r="AG109" i="39"/>
  <c r="AF109" i="39"/>
  <c r="AA109" i="39"/>
  <c r="Z109" i="39"/>
  <c r="AG108" i="39"/>
  <c r="AF108" i="39"/>
  <c r="AA108" i="39"/>
  <c r="Z108" i="39"/>
  <c r="AG105" i="39"/>
  <c r="AF105" i="39"/>
  <c r="AA105" i="39"/>
  <c r="Z105" i="39"/>
  <c r="AG104" i="39"/>
  <c r="AF104" i="39"/>
  <c r="AA104" i="39"/>
  <c r="Z104" i="39"/>
  <c r="AG101" i="39"/>
  <c r="AF101" i="39"/>
  <c r="AA101" i="39"/>
  <c r="Z101" i="39"/>
  <c r="AG100" i="39"/>
  <c r="AI36" i="39" s="1"/>
  <c r="AI70" i="39" s="1"/>
  <c r="AF100" i="39"/>
  <c r="AA100" i="39"/>
  <c r="Z100" i="39"/>
  <c r="AG83" i="39"/>
  <c r="AF83" i="39"/>
  <c r="AA83" i="39"/>
  <c r="Z83" i="39"/>
  <c r="AG82" i="39"/>
  <c r="AF82" i="39"/>
  <c r="AA82" i="39"/>
  <c r="Z82" i="39"/>
  <c r="AG79" i="39"/>
  <c r="AF79" i="39"/>
  <c r="AA79" i="39"/>
  <c r="Z79" i="39"/>
  <c r="AG78" i="39"/>
  <c r="AF78" i="39"/>
  <c r="AA78" i="39"/>
  <c r="Z78" i="39"/>
  <c r="AG75" i="39"/>
  <c r="AF75" i="39"/>
  <c r="AA75" i="39"/>
  <c r="Z75" i="39"/>
  <c r="AG74" i="39"/>
  <c r="AF74" i="39"/>
  <c r="AA74" i="39"/>
  <c r="Z74" i="39"/>
  <c r="AH72" i="39"/>
  <c r="AB72" i="39"/>
  <c r="AH71" i="39"/>
  <c r="AB71" i="39"/>
  <c r="AH70" i="39"/>
  <c r="AB70" i="39"/>
  <c r="AH69" i="39"/>
  <c r="AB69" i="39"/>
  <c r="AH66" i="39"/>
  <c r="AG66" i="39"/>
  <c r="AB66" i="39"/>
  <c r="AA66" i="39"/>
  <c r="AH65" i="39"/>
  <c r="AG65" i="39"/>
  <c r="AB65" i="39"/>
  <c r="AA65" i="39"/>
  <c r="AH64" i="39"/>
  <c r="AG64" i="39"/>
  <c r="AB64" i="39"/>
  <c r="AA64" i="39"/>
  <c r="AH63" i="39"/>
  <c r="AG63" i="39"/>
  <c r="AB63" i="39"/>
  <c r="AA63" i="39"/>
  <c r="AI38" i="39"/>
  <c r="AI72" i="39" s="1"/>
  <c r="AI35" i="39"/>
  <c r="AI69" i="39" s="1"/>
  <c r="U109" i="39"/>
  <c r="T109" i="39"/>
  <c r="O109" i="39"/>
  <c r="N109" i="39"/>
  <c r="I109" i="39"/>
  <c r="H109" i="39"/>
  <c r="C109" i="39"/>
  <c r="B109" i="39"/>
  <c r="U108" i="39"/>
  <c r="T108" i="39"/>
  <c r="O108" i="39"/>
  <c r="N108" i="39"/>
  <c r="I108" i="39"/>
  <c r="H108" i="39"/>
  <c r="C108" i="39"/>
  <c r="B108" i="39"/>
  <c r="U105" i="39"/>
  <c r="T105" i="39"/>
  <c r="O105" i="39"/>
  <c r="N105" i="39"/>
  <c r="I105" i="39"/>
  <c r="H105" i="39"/>
  <c r="C105" i="39"/>
  <c r="B105" i="39"/>
  <c r="U104" i="39"/>
  <c r="T104" i="39"/>
  <c r="O104" i="39"/>
  <c r="N104" i="39"/>
  <c r="I104" i="39"/>
  <c r="H104" i="39"/>
  <c r="C104" i="39"/>
  <c r="B104" i="39"/>
  <c r="U101" i="39"/>
  <c r="W38" i="39" s="1"/>
  <c r="W72" i="39" s="1"/>
  <c r="T101" i="39"/>
  <c r="O101" i="39"/>
  <c r="N101" i="39"/>
  <c r="I101" i="39"/>
  <c r="K38" i="39" s="1"/>
  <c r="K72" i="39" s="1"/>
  <c r="H101" i="39"/>
  <c r="C101" i="39"/>
  <c r="B101" i="39"/>
  <c r="U100" i="39"/>
  <c r="T100" i="39"/>
  <c r="O100" i="39"/>
  <c r="N100" i="39"/>
  <c r="Q35" i="39" s="1"/>
  <c r="Q69" i="39" s="1"/>
  <c r="I100" i="39"/>
  <c r="K36" i="39" s="1"/>
  <c r="K70" i="39" s="1"/>
  <c r="H100" i="39"/>
  <c r="C100" i="39"/>
  <c r="B100" i="39"/>
  <c r="U83" i="39"/>
  <c r="T83" i="39"/>
  <c r="O83" i="39"/>
  <c r="N83" i="39"/>
  <c r="I83" i="39"/>
  <c r="H83" i="39"/>
  <c r="C83" i="39"/>
  <c r="B83" i="39"/>
  <c r="U82" i="39"/>
  <c r="T82" i="39"/>
  <c r="O82" i="39"/>
  <c r="N82" i="39"/>
  <c r="I82" i="39"/>
  <c r="H82" i="39"/>
  <c r="C82" i="39"/>
  <c r="B82" i="39"/>
  <c r="U79" i="39"/>
  <c r="T79" i="39"/>
  <c r="O79" i="39"/>
  <c r="N79" i="39"/>
  <c r="I79" i="39"/>
  <c r="H79" i="39"/>
  <c r="C79" i="39"/>
  <c r="B79" i="39"/>
  <c r="U78" i="39"/>
  <c r="T78" i="39"/>
  <c r="O78" i="39"/>
  <c r="N78" i="39"/>
  <c r="I78" i="39"/>
  <c r="H78" i="39"/>
  <c r="C78" i="39"/>
  <c r="B78" i="39"/>
  <c r="U75" i="39"/>
  <c r="T75" i="39"/>
  <c r="O75" i="39"/>
  <c r="N75" i="39"/>
  <c r="I75" i="39"/>
  <c r="H75" i="39"/>
  <c r="C75" i="39"/>
  <c r="B75" i="39"/>
  <c r="U74" i="39"/>
  <c r="T74" i="39"/>
  <c r="O74" i="39"/>
  <c r="N74" i="39"/>
  <c r="I74" i="39"/>
  <c r="H74" i="39"/>
  <c r="C74" i="39"/>
  <c r="B74" i="39"/>
  <c r="V72" i="39"/>
  <c r="P72" i="39"/>
  <c r="J72" i="39"/>
  <c r="D72" i="39"/>
  <c r="V71" i="39"/>
  <c r="P71" i="39"/>
  <c r="J71" i="39"/>
  <c r="D71" i="39"/>
  <c r="V70" i="39"/>
  <c r="P70" i="39"/>
  <c r="J70" i="39"/>
  <c r="D70" i="39"/>
  <c r="V69" i="39"/>
  <c r="P69" i="39"/>
  <c r="J69" i="39"/>
  <c r="D69" i="39"/>
  <c r="V66" i="39"/>
  <c r="U66" i="39"/>
  <c r="P66" i="39"/>
  <c r="O66" i="39"/>
  <c r="J66" i="39"/>
  <c r="I66" i="39"/>
  <c r="D66" i="39"/>
  <c r="E11" i="39" s="1"/>
  <c r="E66" i="39" s="1"/>
  <c r="C66" i="39"/>
  <c r="V65" i="39"/>
  <c r="U65" i="39"/>
  <c r="P65" i="39"/>
  <c r="O65" i="39"/>
  <c r="J65" i="39"/>
  <c r="I65" i="39"/>
  <c r="D65" i="39"/>
  <c r="C65" i="39"/>
  <c r="V64" i="39"/>
  <c r="U64" i="39"/>
  <c r="P64" i="39"/>
  <c r="O64" i="39"/>
  <c r="J64" i="39"/>
  <c r="I64" i="39"/>
  <c r="D64" i="39"/>
  <c r="C64" i="39"/>
  <c r="V63" i="39"/>
  <c r="U63" i="39"/>
  <c r="P63" i="39"/>
  <c r="O63" i="39"/>
  <c r="J63" i="39"/>
  <c r="I63" i="39"/>
  <c r="D63" i="39"/>
  <c r="C63" i="39"/>
  <c r="K37" i="39"/>
  <c r="K71" i="39" s="1"/>
  <c r="K35" i="39"/>
  <c r="K69" i="39" s="1"/>
  <c r="P23" i="39"/>
  <c r="O23" i="39"/>
  <c r="J23" i="39"/>
  <c r="I23" i="39"/>
  <c r="D23" i="39"/>
  <c r="C23" i="39"/>
  <c r="P22" i="39"/>
  <c r="O22" i="39"/>
  <c r="J22" i="39"/>
  <c r="I22" i="39"/>
  <c r="D22" i="39"/>
  <c r="C22" i="39"/>
  <c r="P19" i="39"/>
  <c r="O19" i="39"/>
  <c r="J19" i="39"/>
  <c r="I19" i="39"/>
  <c r="D19" i="39"/>
  <c r="C19" i="39"/>
  <c r="P18" i="39"/>
  <c r="O18" i="39"/>
  <c r="J18" i="39"/>
  <c r="I18" i="39"/>
  <c r="D18" i="39"/>
  <c r="C18" i="39"/>
  <c r="P15" i="39"/>
  <c r="O15" i="39"/>
  <c r="J15" i="39"/>
  <c r="I15" i="39"/>
  <c r="D15" i="39"/>
  <c r="C15" i="39"/>
  <c r="P14" i="39"/>
  <c r="O14" i="39"/>
  <c r="J14" i="39"/>
  <c r="I14" i="39"/>
  <c r="D14" i="39"/>
  <c r="C14" i="39"/>
  <c r="B14" i="39"/>
  <c r="B15" i="39" s="1"/>
  <c r="M4" i="39"/>
  <c r="U41" i="37"/>
  <c r="K41" i="37"/>
  <c r="G41" i="37"/>
  <c r="U38" i="37"/>
  <c r="K37" i="37"/>
  <c r="G37" i="37"/>
  <c r="U34" i="37"/>
  <c r="K33" i="37"/>
  <c r="G33" i="37"/>
  <c r="X30" i="37"/>
  <c r="Y38" i="37" s="1"/>
  <c r="P30" i="37"/>
  <c r="Q41" i="37" s="1"/>
  <c r="K30" i="37"/>
  <c r="L38" i="37" s="1"/>
  <c r="G30" i="37"/>
  <c r="H38" i="37" s="1"/>
  <c r="C30" i="37"/>
  <c r="D41" i="37" s="1"/>
  <c r="X29" i="37"/>
  <c r="Y42" i="37" s="1"/>
  <c r="T29" i="37"/>
  <c r="U37" i="37" s="1"/>
  <c r="P29" i="37"/>
  <c r="Q37" i="37" s="1"/>
  <c r="K29" i="37"/>
  <c r="L42" i="37" s="1"/>
  <c r="G29" i="37"/>
  <c r="H42" i="37" s="1"/>
  <c r="C29" i="37"/>
  <c r="D37" i="37" s="1"/>
  <c r="X28" i="37"/>
  <c r="X42" i="37" s="1"/>
  <c r="T28" i="37"/>
  <c r="T42" i="37" s="1"/>
  <c r="P28" i="37"/>
  <c r="Q33" i="37" s="1"/>
  <c r="K28" i="37"/>
  <c r="K42" i="37" s="1"/>
  <c r="G28" i="37"/>
  <c r="G42" i="37" s="1"/>
  <c r="C28" i="37"/>
  <c r="C42" i="37" s="1"/>
  <c r="X27" i="37"/>
  <c r="X33" i="37" s="1"/>
  <c r="T27" i="37"/>
  <c r="T41" i="37" s="1"/>
  <c r="P27" i="37"/>
  <c r="P41" i="37" s="1"/>
  <c r="C27" i="37"/>
  <c r="C41" i="37" s="1"/>
  <c r="Y23" i="37"/>
  <c r="X23" i="37"/>
  <c r="U23" i="37"/>
  <c r="T23" i="37"/>
  <c r="Q23" i="37"/>
  <c r="P23" i="37"/>
  <c r="L23" i="37"/>
  <c r="K23" i="37"/>
  <c r="H23" i="37"/>
  <c r="G23" i="37"/>
  <c r="D23" i="37"/>
  <c r="C23" i="37"/>
  <c r="Y22" i="37"/>
  <c r="X22" i="37"/>
  <c r="U22" i="37"/>
  <c r="T22" i="37"/>
  <c r="Q22" i="37"/>
  <c r="P22" i="37"/>
  <c r="L22" i="37"/>
  <c r="K22" i="37"/>
  <c r="H22" i="37"/>
  <c r="G22" i="37"/>
  <c r="D22" i="37"/>
  <c r="C22" i="37"/>
  <c r="Y19" i="37"/>
  <c r="X19" i="37"/>
  <c r="U19" i="37"/>
  <c r="T19" i="37"/>
  <c r="Q19" i="37"/>
  <c r="P19" i="37"/>
  <c r="L19" i="37"/>
  <c r="K19" i="37"/>
  <c r="H19" i="37"/>
  <c r="G19" i="37"/>
  <c r="D19" i="37"/>
  <c r="C19" i="37"/>
  <c r="Y18" i="37"/>
  <c r="X18" i="37"/>
  <c r="U18" i="37"/>
  <c r="T18" i="37"/>
  <c r="Q18" i="37"/>
  <c r="P18" i="37"/>
  <c r="L18" i="37"/>
  <c r="K18" i="37"/>
  <c r="H18" i="37"/>
  <c r="G18" i="37"/>
  <c r="D18" i="37"/>
  <c r="C18" i="37"/>
  <c r="Y15" i="37"/>
  <c r="X15" i="37"/>
  <c r="U15" i="37"/>
  <c r="T15" i="37"/>
  <c r="Q15" i="37"/>
  <c r="P15" i="37"/>
  <c r="L15" i="37"/>
  <c r="K15" i="37"/>
  <c r="H15" i="37"/>
  <c r="G15" i="37"/>
  <c r="D15" i="37"/>
  <c r="C15" i="37"/>
  <c r="Y14" i="37"/>
  <c r="X14" i="37"/>
  <c r="U14" i="37"/>
  <c r="T14" i="37"/>
  <c r="Q14" i="37"/>
  <c r="P14" i="37"/>
  <c r="L14" i="37"/>
  <c r="K14" i="37"/>
  <c r="H14" i="37"/>
  <c r="G14" i="37"/>
  <c r="D14" i="37"/>
  <c r="C14" i="37"/>
  <c r="B14" i="37"/>
  <c r="F14" i="37" s="1"/>
  <c r="M4" i="37"/>
  <c r="T33" i="36"/>
  <c r="U44" i="36" s="1"/>
  <c r="N33" i="36"/>
  <c r="O44" i="36" s="1"/>
  <c r="H33" i="36"/>
  <c r="I44" i="36" s="1"/>
  <c r="B33" i="36"/>
  <c r="C44" i="36" s="1"/>
  <c r="T32" i="36"/>
  <c r="T37" i="36" s="1"/>
  <c r="N32" i="36"/>
  <c r="O45" i="36" s="1"/>
  <c r="H32" i="36"/>
  <c r="I45" i="36" s="1"/>
  <c r="B32" i="36"/>
  <c r="C45" i="36" s="1"/>
  <c r="T31" i="36"/>
  <c r="T45" i="36" s="1"/>
  <c r="N31" i="36"/>
  <c r="N41" i="36" s="1"/>
  <c r="H31" i="36"/>
  <c r="I36" i="36" s="1"/>
  <c r="B31" i="36"/>
  <c r="C36" i="36" s="1"/>
  <c r="T30" i="36"/>
  <c r="T44" i="36" s="1"/>
  <c r="N30" i="36"/>
  <c r="N44" i="36" s="1"/>
  <c r="H30" i="36"/>
  <c r="H40" i="36" s="1"/>
  <c r="B30" i="36"/>
  <c r="B44" i="36" s="1"/>
  <c r="U24" i="36"/>
  <c r="T24" i="36"/>
  <c r="O24" i="36"/>
  <c r="N24" i="36"/>
  <c r="I24" i="36"/>
  <c r="H24" i="36"/>
  <c r="C24" i="36"/>
  <c r="B24" i="36"/>
  <c r="U23" i="36"/>
  <c r="T23" i="36"/>
  <c r="O23" i="36"/>
  <c r="N23" i="36"/>
  <c r="I23" i="36"/>
  <c r="H23" i="36"/>
  <c r="C23" i="36"/>
  <c r="B23" i="36"/>
  <c r="U20" i="36"/>
  <c r="T20" i="36"/>
  <c r="O20" i="36"/>
  <c r="N20" i="36"/>
  <c r="I20" i="36"/>
  <c r="H20" i="36"/>
  <c r="C20" i="36"/>
  <c r="B20" i="36"/>
  <c r="U19" i="36"/>
  <c r="T19" i="36"/>
  <c r="O19" i="36"/>
  <c r="N19" i="36"/>
  <c r="I19" i="36"/>
  <c r="H19" i="36"/>
  <c r="C19" i="36"/>
  <c r="B19" i="36"/>
  <c r="U16" i="36"/>
  <c r="T16" i="36"/>
  <c r="O16" i="36"/>
  <c r="N16" i="36"/>
  <c r="I16" i="36"/>
  <c r="H16" i="36"/>
  <c r="C16" i="36"/>
  <c r="B16" i="36"/>
  <c r="U15" i="36"/>
  <c r="T15" i="36"/>
  <c r="O15" i="36"/>
  <c r="N15" i="36"/>
  <c r="M15" i="36"/>
  <c r="S15" i="36" s="1"/>
  <c r="I15" i="36"/>
  <c r="H15" i="36"/>
  <c r="C15" i="36"/>
  <c r="B15" i="36"/>
  <c r="A15" i="36"/>
  <c r="A16" i="36" s="1"/>
  <c r="L4" i="36"/>
  <c r="T111" i="35"/>
  <c r="S111" i="35"/>
  <c r="N111" i="35"/>
  <c r="M111" i="35"/>
  <c r="H111" i="35"/>
  <c r="G111" i="35"/>
  <c r="B111" i="35"/>
  <c r="A111" i="35"/>
  <c r="T110" i="35"/>
  <c r="S110" i="35"/>
  <c r="N110" i="35"/>
  <c r="M110" i="35"/>
  <c r="H110" i="35"/>
  <c r="G110" i="35"/>
  <c r="B110" i="35"/>
  <c r="A110" i="35"/>
  <c r="T107" i="35"/>
  <c r="S107" i="35"/>
  <c r="N107" i="35"/>
  <c r="M107" i="35"/>
  <c r="H107" i="35"/>
  <c r="G107" i="35"/>
  <c r="B107" i="35"/>
  <c r="A107" i="35"/>
  <c r="T106" i="35"/>
  <c r="S106" i="35"/>
  <c r="N106" i="35"/>
  <c r="M106" i="35"/>
  <c r="H106" i="35"/>
  <c r="G106" i="35"/>
  <c r="B106" i="35"/>
  <c r="A106" i="35"/>
  <c r="T103" i="35"/>
  <c r="S103" i="35"/>
  <c r="N103" i="35"/>
  <c r="M103" i="35"/>
  <c r="H103" i="35"/>
  <c r="G103" i="35"/>
  <c r="B103" i="35"/>
  <c r="A103" i="35"/>
  <c r="T102" i="35"/>
  <c r="S102" i="35"/>
  <c r="N102" i="35"/>
  <c r="M102" i="35"/>
  <c r="H102" i="35"/>
  <c r="G102" i="35"/>
  <c r="B102" i="35"/>
  <c r="A102" i="35"/>
  <c r="T85" i="35"/>
  <c r="S85" i="35"/>
  <c r="N85" i="35"/>
  <c r="M85" i="35"/>
  <c r="H85" i="35"/>
  <c r="G85" i="35"/>
  <c r="B85" i="35"/>
  <c r="A85" i="35"/>
  <c r="T84" i="35"/>
  <c r="S84" i="35"/>
  <c r="N84" i="35"/>
  <c r="M84" i="35"/>
  <c r="H84" i="35"/>
  <c r="G84" i="35"/>
  <c r="B84" i="35"/>
  <c r="A84" i="35"/>
  <c r="T81" i="35"/>
  <c r="S81" i="35"/>
  <c r="N81" i="35"/>
  <c r="M81" i="35"/>
  <c r="H81" i="35"/>
  <c r="G81" i="35"/>
  <c r="B81" i="35"/>
  <c r="A81" i="35"/>
  <c r="T80" i="35"/>
  <c r="S80" i="35"/>
  <c r="N80" i="35"/>
  <c r="M80" i="35"/>
  <c r="H80" i="35"/>
  <c r="G80" i="35"/>
  <c r="B80" i="35"/>
  <c r="A80" i="35"/>
  <c r="T77" i="35"/>
  <c r="S77" i="35"/>
  <c r="N77" i="35"/>
  <c r="M77" i="35"/>
  <c r="H77" i="35"/>
  <c r="G77" i="35"/>
  <c r="B77" i="35"/>
  <c r="A77" i="35"/>
  <c r="T76" i="35"/>
  <c r="S76" i="35"/>
  <c r="N76" i="35"/>
  <c r="M76" i="35"/>
  <c r="H76" i="35"/>
  <c r="G76" i="35"/>
  <c r="B76" i="35"/>
  <c r="A76" i="35"/>
  <c r="U74" i="35"/>
  <c r="O74" i="35"/>
  <c r="I74" i="35"/>
  <c r="C74" i="35"/>
  <c r="U73" i="35"/>
  <c r="O73" i="35"/>
  <c r="I73" i="35"/>
  <c r="C73" i="35"/>
  <c r="U72" i="35"/>
  <c r="O72" i="35"/>
  <c r="I72" i="35"/>
  <c r="C72" i="35"/>
  <c r="U71" i="35"/>
  <c r="O71" i="35"/>
  <c r="I71" i="35"/>
  <c r="C71" i="35"/>
  <c r="U68" i="35"/>
  <c r="V12" i="35" s="1"/>
  <c r="V68" i="35" s="1"/>
  <c r="T68" i="35"/>
  <c r="O68" i="35"/>
  <c r="N68" i="35"/>
  <c r="I68" i="35"/>
  <c r="H68" i="35"/>
  <c r="C68" i="35"/>
  <c r="B68" i="35"/>
  <c r="U67" i="35"/>
  <c r="V11" i="35" s="1"/>
  <c r="V67" i="35" s="1"/>
  <c r="T67" i="35"/>
  <c r="O67" i="35"/>
  <c r="N67" i="35"/>
  <c r="I67" i="35"/>
  <c r="H67" i="35"/>
  <c r="C67" i="35"/>
  <c r="B67" i="35"/>
  <c r="U66" i="35"/>
  <c r="V10" i="35" s="1"/>
  <c r="V66" i="35" s="1"/>
  <c r="T66" i="35"/>
  <c r="O66" i="35"/>
  <c r="N66" i="35"/>
  <c r="I66" i="35"/>
  <c r="H66" i="35"/>
  <c r="C66" i="35"/>
  <c r="B66" i="35"/>
  <c r="U65" i="35"/>
  <c r="V9" i="35" s="1"/>
  <c r="V65" i="35" s="1"/>
  <c r="S65" i="35" s="1"/>
  <c r="T65" i="35"/>
  <c r="O65" i="35"/>
  <c r="N65" i="35"/>
  <c r="I65" i="35"/>
  <c r="H65" i="35"/>
  <c r="C65" i="35"/>
  <c r="B65" i="35"/>
  <c r="V40" i="35"/>
  <c r="V74" i="35" s="1"/>
  <c r="T40" i="35"/>
  <c r="P40" i="35"/>
  <c r="P74" i="35" s="1"/>
  <c r="N40" i="35"/>
  <c r="O48" i="35" s="1"/>
  <c r="J40" i="35"/>
  <c r="J74" i="35" s="1"/>
  <c r="H40" i="35"/>
  <c r="H74" i="35" s="1"/>
  <c r="D40" i="35"/>
  <c r="D74" i="35" s="1"/>
  <c r="B40" i="35"/>
  <c r="B74" i="35" s="1"/>
  <c r="V39" i="35"/>
  <c r="V73" i="35" s="1"/>
  <c r="T39" i="35"/>
  <c r="P39" i="35"/>
  <c r="P73" i="35" s="1"/>
  <c r="N39" i="35"/>
  <c r="J39" i="35"/>
  <c r="J73" i="35" s="1"/>
  <c r="H39" i="35"/>
  <c r="H73" i="35" s="1"/>
  <c r="D39" i="35"/>
  <c r="D73" i="35" s="1"/>
  <c r="B39" i="35"/>
  <c r="V38" i="35"/>
  <c r="V72" i="35" s="1"/>
  <c r="T38" i="35"/>
  <c r="P38" i="35"/>
  <c r="P72" i="35" s="1"/>
  <c r="N38" i="35"/>
  <c r="O43" i="35" s="1"/>
  <c r="J38" i="35"/>
  <c r="J72" i="35" s="1"/>
  <c r="H38" i="35"/>
  <c r="H72" i="35" s="1"/>
  <c r="D38" i="35"/>
  <c r="D72" i="35" s="1"/>
  <c r="B38" i="35"/>
  <c r="B72" i="35" s="1"/>
  <c r="V37" i="35"/>
  <c r="V71" i="35" s="1"/>
  <c r="S71" i="35" s="1"/>
  <c r="T37" i="35"/>
  <c r="T43" i="35" s="1"/>
  <c r="P37" i="35"/>
  <c r="P71" i="35" s="1"/>
  <c r="M71" i="35" s="1"/>
  <c r="N37" i="35"/>
  <c r="J37" i="35"/>
  <c r="J71" i="35" s="1"/>
  <c r="G71" i="35" s="1"/>
  <c r="H37" i="35"/>
  <c r="H51" i="35" s="1"/>
  <c r="D37" i="35"/>
  <c r="D71" i="35" s="1"/>
  <c r="A71" i="35" s="1"/>
  <c r="D56" i="35" s="1"/>
  <c r="B37" i="35"/>
  <c r="B51" i="35" s="1"/>
  <c r="T28" i="35"/>
  <c r="U24" i="35"/>
  <c r="T24" i="35"/>
  <c r="O24" i="35"/>
  <c r="N24" i="35"/>
  <c r="I24" i="35"/>
  <c r="H24" i="35"/>
  <c r="C24" i="35"/>
  <c r="B24" i="35"/>
  <c r="U23" i="35"/>
  <c r="T23" i="35"/>
  <c r="O23" i="35"/>
  <c r="N23" i="35"/>
  <c r="I23" i="35"/>
  <c r="H23" i="35"/>
  <c r="C23" i="35"/>
  <c r="B23" i="35"/>
  <c r="U20" i="35"/>
  <c r="T20" i="35"/>
  <c r="O20" i="35"/>
  <c r="N20" i="35"/>
  <c r="I20" i="35"/>
  <c r="H20" i="35"/>
  <c r="C20" i="35"/>
  <c r="B20" i="35"/>
  <c r="U19" i="35"/>
  <c r="T19" i="35"/>
  <c r="O19" i="35"/>
  <c r="N19" i="35"/>
  <c r="I19" i="35"/>
  <c r="H19" i="35"/>
  <c r="C19" i="35"/>
  <c r="B19" i="35"/>
  <c r="U16" i="35"/>
  <c r="T16" i="35"/>
  <c r="S16" i="35"/>
  <c r="S19" i="35" s="1"/>
  <c r="S20" i="35" s="1"/>
  <c r="S23" i="35" s="1"/>
  <c r="S24" i="35" s="1"/>
  <c r="S43" i="35" s="1"/>
  <c r="S44" i="35" s="1"/>
  <c r="S47" i="35" s="1"/>
  <c r="S48" i="35" s="1"/>
  <c r="S51" i="35" s="1"/>
  <c r="S52" i="35" s="1"/>
  <c r="E5" i="35" s="1"/>
  <c r="O16" i="35"/>
  <c r="N16" i="35"/>
  <c r="I16" i="35"/>
  <c r="H16" i="35"/>
  <c r="C16" i="35"/>
  <c r="B16" i="35"/>
  <c r="U15" i="35"/>
  <c r="T15" i="35"/>
  <c r="S15" i="35"/>
  <c r="O15" i="35"/>
  <c r="N15" i="35"/>
  <c r="M15" i="35"/>
  <c r="M16" i="35" s="1"/>
  <c r="M19" i="35" s="1"/>
  <c r="M20" i="35" s="1"/>
  <c r="M23" i="35" s="1"/>
  <c r="M24" i="35" s="1"/>
  <c r="M43" i="35" s="1"/>
  <c r="M44" i="35" s="1"/>
  <c r="M47" i="35" s="1"/>
  <c r="M48" i="35" s="1"/>
  <c r="M51" i="35" s="1"/>
  <c r="M52" i="35" s="1"/>
  <c r="I15" i="35"/>
  <c r="H15" i="35"/>
  <c r="G15" i="35"/>
  <c r="G16" i="35" s="1"/>
  <c r="G19" i="35" s="1"/>
  <c r="G20" i="35" s="1"/>
  <c r="G23" i="35" s="1"/>
  <c r="G24" i="35" s="1"/>
  <c r="G43" i="35" s="1"/>
  <c r="G44" i="35" s="1"/>
  <c r="G47" i="35" s="1"/>
  <c r="G48" i="35" s="1"/>
  <c r="G51" i="35" s="1"/>
  <c r="G52" i="35" s="1"/>
  <c r="C15" i="35"/>
  <c r="B15" i="35"/>
  <c r="A15" i="35"/>
  <c r="A16" i="35" s="1"/>
  <c r="A19" i="35" s="1"/>
  <c r="A20" i="35" s="1"/>
  <c r="A23" i="35" s="1"/>
  <c r="A24" i="35" s="1"/>
  <c r="A43" i="35" s="1"/>
  <c r="A44" i="35" s="1"/>
  <c r="A47" i="35" s="1"/>
  <c r="A48" i="35" s="1"/>
  <c r="A51" i="35" s="1"/>
  <c r="A52" i="35" s="1"/>
  <c r="P12" i="35"/>
  <c r="P68" i="35" s="1"/>
  <c r="M68" i="35" s="1"/>
  <c r="J12" i="35"/>
  <c r="J68" i="35" s="1"/>
  <c r="D12" i="35"/>
  <c r="D68" i="35" s="1"/>
  <c r="P11" i="35"/>
  <c r="P67" i="35" s="1"/>
  <c r="J11" i="35"/>
  <c r="J67" i="35" s="1"/>
  <c r="G67" i="35" s="1"/>
  <c r="D11" i="35"/>
  <c r="D67" i="35" s="1"/>
  <c r="P10" i="35"/>
  <c r="P66" i="35" s="1"/>
  <c r="J10" i="35"/>
  <c r="J66" i="35" s="1"/>
  <c r="D10" i="35"/>
  <c r="D66" i="35" s="1"/>
  <c r="A66" i="35" s="1"/>
  <c r="P9" i="35"/>
  <c r="P65" i="35" s="1"/>
  <c r="J9" i="35"/>
  <c r="J65" i="35" s="1"/>
  <c r="D9" i="35"/>
  <c r="D65" i="35" s="1"/>
  <c r="L4" i="35"/>
  <c r="T111" i="34"/>
  <c r="S111" i="34"/>
  <c r="N111" i="34"/>
  <c r="M111" i="34"/>
  <c r="H111" i="34"/>
  <c r="G111" i="34"/>
  <c r="B111" i="34"/>
  <c r="A111" i="34"/>
  <c r="T110" i="34"/>
  <c r="S110" i="34"/>
  <c r="N110" i="34"/>
  <c r="M110" i="34"/>
  <c r="H110" i="34"/>
  <c r="G110" i="34"/>
  <c r="B110" i="34"/>
  <c r="A110" i="34"/>
  <c r="T107" i="34"/>
  <c r="S107" i="34"/>
  <c r="N107" i="34"/>
  <c r="M107" i="34"/>
  <c r="H107" i="34"/>
  <c r="G107" i="34"/>
  <c r="B107" i="34"/>
  <c r="A107" i="34"/>
  <c r="T106" i="34"/>
  <c r="S106" i="34"/>
  <c r="N106" i="34"/>
  <c r="M106" i="34"/>
  <c r="H106" i="34"/>
  <c r="G106" i="34"/>
  <c r="B106" i="34"/>
  <c r="A106" i="34"/>
  <c r="T103" i="34"/>
  <c r="S103" i="34"/>
  <c r="N103" i="34"/>
  <c r="M103" i="34"/>
  <c r="H103" i="34"/>
  <c r="G103" i="34"/>
  <c r="B103" i="34"/>
  <c r="A103" i="34"/>
  <c r="T102" i="34"/>
  <c r="S102" i="34"/>
  <c r="N102" i="34"/>
  <c r="M102" i="34"/>
  <c r="H102" i="34"/>
  <c r="G102" i="34"/>
  <c r="B102" i="34"/>
  <c r="A102" i="34"/>
  <c r="T85" i="34"/>
  <c r="S85" i="34"/>
  <c r="N85" i="34"/>
  <c r="M85" i="34"/>
  <c r="H85" i="34"/>
  <c r="G85" i="34"/>
  <c r="B85" i="34"/>
  <c r="A85" i="34"/>
  <c r="T84" i="34"/>
  <c r="S84" i="34"/>
  <c r="N84" i="34"/>
  <c r="M84" i="34"/>
  <c r="H84" i="34"/>
  <c r="G84" i="34"/>
  <c r="B84" i="34"/>
  <c r="A84" i="34"/>
  <c r="T81" i="34"/>
  <c r="S81" i="34"/>
  <c r="N81" i="34"/>
  <c r="M81" i="34"/>
  <c r="H81" i="34"/>
  <c r="G81" i="34"/>
  <c r="B81" i="34"/>
  <c r="A81" i="34"/>
  <c r="T80" i="34"/>
  <c r="S80" i="34"/>
  <c r="N80" i="34"/>
  <c r="M80" i="34"/>
  <c r="H80" i="34"/>
  <c r="G80" i="34"/>
  <c r="B80" i="34"/>
  <c r="A80" i="34"/>
  <c r="T77" i="34"/>
  <c r="S77" i="34"/>
  <c r="N77" i="34"/>
  <c r="M77" i="34"/>
  <c r="H77" i="34"/>
  <c r="G77" i="34"/>
  <c r="B77" i="34"/>
  <c r="A77" i="34"/>
  <c r="T76" i="34"/>
  <c r="S76" i="34"/>
  <c r="N76" i="34"/>
  <c r="M76" i="34"/>
  <c r="H76" i="34"/>
  <c r="G76" i="34"/>
  <c r="B76" i="34"/>
  <c r="A76" i="34"/>
  <c r="U74" i="34"/>
  <c r="O74" i="34"/>
  <c r="I74" i="34"/>
  <c r="C74" i="34"/>
  <c r="U73" i="34"/>
  <c r="O73" i="34"/>
  <c r="I73" i="34"/>
  <c r="C73" i="34"/>
  <c r="U72" i="34"/>
  <c r="O72" i="34"/>
  <c r="I72" i="34"/>
  <c r="C72" i="34"/>
  <c r="U71" i="34"/>
  <c r="O71" i="34"/>
  <c r="I71" i="34"/>
  <c r="C71" i="34"/>
  <c r="U68" i="34"/>
  <c r="T68" i="34"/>
  <c r="O68" i="34"/>
  <c r="N68" i="34"/>
  <c r="I68" i="34"/>
  <c r="H68" i="34"/>
  <c r="C68" i="34"/>
  <c r="B68" i="34"/>
  <c r="U67" i="34"/>
  <c r="T67" i="34"/>
  <c r="O67" i="34"/>
  <c r="N67" i="34"/>
  <c r="I67" i="34"/>
  <c r="H67" i="34"/>
  <c r="C67" i="34"/>
  <c r="B67" i="34"/>
  <c r="U66" i="34"/>
  <c r="T66" i="34"/>
  <c r="O66" i="34"/>
  <c r="N66" i="34"/>
  <c r="I66" i="34"/>
  <c r="H66" i="34"/>
  <c r="C66" i="34"/>
  <c r="B66" i="34"/>
  <c r="U65" i="34"/>
  <c r="T65" i="34"/>
  <c r="O65" i="34"/>
  <c r="N65" i="34"/>
  <c r="I65" i="34"/>
  <c r="H65" i="34"/>
  <c r="C65" i="34"/>
  <c r="D9" i="34" s="1"/>
  <c r="D65" i="34" s="1"/>
  <c r="B65" i="34"/>
  <c r="C52" i="34"/>
  <c r="B47" i="34"/>
  <c r="B44" i="34"/>
  <c r="V40" i="34"/>
  <c r="V74" i="34" s="1"/>
  <c r="T40" i="34"/>
  <c r="T74" i="34" s="1"/>
  <c r="P40" i="34"/>
  <c r="P74" i="34" s="1"/>
  <c r="N40" i="34"/>
  <c r="O51" i="34" s="1"/>
  <c r="J40" i="34"/>
  <c r="J74" i="34" s="1"/>
  <c r="H40" i="34"/>
  <c r="H74" i="34" s="1"/>
  <c r="D40" i="34"/>
  <c r="D74" i="34" s="1"/>
  <c r="B40" i="34"/>
  <c r="B74" i="34" s="1"/>
  <c r="V39" i="34"/>
  <c r="V73" i="34" s="1"/>
  <c r="T39" i="34"/>
  <c r="T73" i="34" s="1"/>
  <c r="P39" i="34"/>
  <c r="P73" i="34" s="1"/>
  <c r="N39" i="34"/>
  <c r="O52" i="34" s="1"/>
  <c r="J39" i="34"/>
  <c r="J73" i="34" s="1"/>
  <c r="H39" i="34"/>
  <c r="H44" i="34" s="1"/>
  <c r="D39" i="34"/>
  <c r="D73" i="34" s="1"/>
  <c r="B39" i="34"/>
  <c r="B73" i="34" s="1"/>
  <c r="V38" i="34"/>
  <c r="V72" i="34" s="1"/>
  <c r="T38" i="34"/>
  <c r="T52" i="34" s="1"/>
  <c r="P38" i="34"/>
  <c r="P72" i="34" s="1"/>
  <c r="N38" i="34"/>
  <c r="O43" i="34" s="1"/>
  <c r="J38" i="34"/>
  <c r="J72" i="34" s="1"/>
  <c r="H38" i="34"/>
  <c r="D38" i="34"/>
  <c r="D72" i="34" s="1"/>
  <c r="B38" i="34"/>
  <c r="B52" i="34" s="1"/>
  <c r="V37" i="34"/>
  <c r="V71" i="34" s="1"/>
  <c r="S71" i="34" s="1"/>
  <c r="T37" i="34"/>
  <c r="T51" i="34" s="1"/>
  <c r="P37" i="34"/>
  <c r="P71" i="34" s="1"/>
  <c r="M71" i="34" s="1"/>
  <c r="N37" i="34"/>
  <c r="N47" i="34" s="1"/>
  <c r="J37" i="34"/>
  <c r="J71" i="34" s="1"/>
  <c r="G71" i="34" s="1"/>
  <c r="J56" i="34" s="1"/>
  <c r="H37" i="34"/>
  <c r="D37" i="34"/>
  <c r="D71" i="34" s="1"/>
  <c r="A71" i="34" s="1"/>
  <c r="B37" i="34"/>
  <c r="B51" i="34" s="1"/>
  <c r="U24" i="34"/>
  <c r="T24" i="34"/>
  <c r="O24" i="34"/>
  <c r="N24" i="34"/>
  <c r="I24" i="34"/>
  <c r="H24" i="34"/>
  <c r="C24" i="34"/>
  <c r="B24" i="34"/>
  <c r="U23" i="34"/>
  <c r="T23" i="34"/>
  <c r="O23" i="34"/>
  <c r="N23" i="34"/>
  <c r="I23" i="34"/>
  <c r="H23" i="34"/>
  <c r="C23" i="34"/>
  <c r="B23" i="34"/>
  <c r="U20" i="34"/>
  <c r="T20" i="34"/>
  <c r="O20" i="34"/>
  <c r="N20" i="34"/>
  <c r="I20" i="34"/>
  <c r="H20" i="34"/>
  <c r="C20" i="34"/>
  <c r="B20" i="34"/>
  <c r="U19" i="34"/>
  <c r="T19" i="34"/>
  <c r="O19" i="34"/>
  <c r="N19" i="34"/>
  <c r="I19" i="34"/>
  <c r="H19" i="34"/>
  <c r="C19" i="34"/>
  <c r="B19" i="34"/>
  <c r="U16" i="34"/>
  <c r="T16" i="34"/>
  <c r="O16" i="34"/>
  <c r="N16" i="34"/>
  <c r="M16" i="34"/>
  <c r="S15" i="34" s="1"/>
  <c r="S16" i="34" s="1"/>
  <c r="M19" i="34" s="1"/>
  <c r="M20" i="34" s="1"/>
  <c r="S19" i="34" s="1"/>
  <c r="S20" i="34" s="1"/>
  <c r="M23" i="34" s="1"/>
  <c r="M24" i="34" s="1"/>
  <c r="S23" i="34" s="1"/>
  <c r="S24" i="34" s="1"/>
  <c r="I16" i="34"/>
  <c r="H16" i="34"/>
  <c r="C16" i="34"/>
  <c r="B16" i="34"/>
  <c r="U15" i="34"/>
  <c r="T15" i="34"/>
  <c r="O15" i="34"/>
  <c r="N15" i="34"/>
  <c r="M15" i="34"/>
  <c r="I15" i="34"/>
  <c r="H15" i="34"/>
  <c r="C15" i="34"/>
  <c r="B15" i="34"/>
  <c r="A15" i="34"/>
  <c r="A16" i="34" s="1"/>
  <c r="G15" i="34" s="1"/>
  <c r="G16" i="34" s="1"/>
  <c r="A19" i="34" s="1"/>
  <c r="A20" i="34" s="1"/>
  <c r="G19" i="34" s="1"/>
  <c r="G20" i="34" s="1"/>
  <c r="A23" i="34" s="1"/>
  <c r="A24" i="34" s="1"/>
  <c r="G23" i="34" s="1"/>
  <c r="G24" i="34" s="1"/>
  <c r="V12" i="34"/>
  <c r="V68" i="34" s="1"/>
  <c r="P12" i="34"/>
  <c r="P68" i="34" s="1"/>
  <c r="J12" i="34"/>
  <c r="J68" i="34" s="1"/>
  <c r="V11" i="34"/>
  <c r="V67" i="34" s="1"/>
  <c r="P11" i="34"/>
  <c r="P67" i="34" s="1"/>
  <c r="J11" i="34"/>
  <c r="J67" i="34" s="1"/>
  <c r="V10" i="34"/>
  <c r="V66" i="34" s="1"/>
  <c r="P10" i="34"/>
  <c r="P66" i="34" s="1"/>
  <c r="J10" i="34"/>
  <c r="J66" i="34" s="1"/>
  <c r="V9" i="34"/>
  <c r="V65" i="34" s="1"/>
  <c r="P9" i="34"/>
  <c r="P65" i="34" s="1"/>
  <c r="J9" i="34"/>
  <c r="J65" i="34" s="1"/>
  <c r="L4" i="34"/>
  <c r="T74" i="33"/>
  <c r="S74" i="33"/>
  <c r="N74" i="33"/>
  <c r="M74" i="33"/>
  <c r="H74" i="33"/>
  <c r="G74" i="33"/>
  <c r="B74" i="33"/>
  <c r="A74" i="33"/>
  <c r="T73" i="33"/>
  <c r="S73" i="33"/>
  <c r="N73" i="33"/>
  <c r="M73" i="33"/>
  <c r="H73" i="33"/>
  <c r="G73" i="33"/>
  <c r="B73" i="33"/>
  <c r="A73" i="33"/>
  <c r="T70" i="33"/>
  <c r="S70" i="33"/>
  <c r="N70" i="33"/>
  <c r="M70" i="33"/>
  <c r="H70" i="33"/>
  <c r="G70" i="33"/>
  <c r="B70" i="33"/>
  <c r="A70" i="33"/>
  <c r="T69" i="33"/>
  <c r="S69" i="33"/>
  <c r="N69" i="33"/>
  <c r="M69" i="33"/>
  <c r="H69" i="33"/>
  <c r="G69" i="33"/>
  <c r="B69" i="33"/>
  <c r="A69" i="33"/>
  <c r="T66" i="33"/>
  <c r="S66" i="33"/>
  <c r="N66" i="33"/>
  <c r="M66" i="33"/>
  <c r="H66" i="33"/>
  <c r="G66" i="33"/>
  <c r="B66" i="33"/>
  <c r="A66" i="33"/>
  <c r="T65" i="33"/>
  <c r="S65" i="33"/>
  <c r="N65" i="33"/>
  <c r="M65" i="33"/>
  <c r="H65" i="33"/>
  <c r="G65" i="33"/>
  <c r="B65" i="33"/>
  <c r="A65" i="33"/>
  <c r="U63" i="33"/>
  <c r="T63" i="33"/>
  <c r="O63" i="33"/>
  <c r="N63" i="33"/>
  <c r="I63" i="33"/>
  <c r="H63" i="33"/>
  <c r="C63" i="33"/>
  <c r="B63" i="33"/>
  <c r="U62" i="33"/>
  <c r="T62" i="33"/>
  <c r="O62" i="33"/>
  <c r="N62" i="33"/>
  <c r="I62" i="33"/>
  <c r="H62" i="33"/>
  <c r="C62" i="33"/>
  <c r="B62" i="33"/>
  <c r="U61" i="33"/>
  <c r="T61" i="33"/>
  <c r="O61" i="33"/>
  <c r="N61" i="33"/>
  <c r="I61" i="33"/>
  <c r="H61" i="33"/>
  <c r="C61" i="33"/>
  <c r="B61" i="33"/>
  <c r="U60" i="33"/>
  <c r="T60" i="33"/>
  <c r="O60" i="33"/>
  <c r="N60" i="33"/>
  <c r="I60" i="33"/>
  <c r="H60" i="33"/>
  <c r="C60" i="33"/>
  <c r="D9" i="33" s="1"/>
  <c r="D60" i="33" s="1"/>
  <c r="B60" i="33"/>
  <c r="T54" i="33"/>
  <c r="N54" i="33"/>
  <c r="H54" i="33"/>
  <c r="B54" i="33"/>
  <c r="T53" i="33"/>
  <c r="N53" i="33"/>
  <c r="H53" i="33"/>
  <c r="B53" i="33"/>
  <c r="T52" i="33"/>
  <c r="N52" i="33"/>
  <c r="H52" i="33"/>
  <c r="B52" i="33"/>
  <c r="T51" i="33"/>
  <c r="N51" i="33"/>
  <c r="H51" i="33"/>
  <c r="B51" i="33"/>
  <c r="U48" i="33"/>
  <c r="T48" i="33"/>
  <c r="O48" i="33"/>
  <c r="N48" i="33"/>
  <c r="I48" i="33"/>
  <c r="H48" i="33"/>
  <c r="C48" i="33"/>
  <c r="B48" i="33"/>
  <c r="U45" i="33"/>
  <c r="T45" i="33"/>
  <c r="O45" i="33"/>
  <c r="N45" i="33"/>
  <c r="I45" i="33"/>
  <c r="H45" i="33"/>
  <c r="C45" i="33"/>
  <c r="B45" i="33"/>
  <c r="U42" i="33"/>
  <c r="T42" i="33"/>
  <c r="O42" i="33"/>
  <c r="N42" i="33"/>
  <c r="I42" i="33"/>
  <c r="H42" i="33"/>
  <c r="C42" i="33"/>
  <c r="B42" i="33"/>
  <c r="U41" i="33"/>
  <c r="T41" i="33"/>
  <c r="O41" i="33"/>
  <c r="N41" i="33"/>
  <c r="I41" i="33"/>
  <c r="H41" i="33"/>
  <c r="C41" i="33"/>
  <c r="B41" i="33"/>
  <c r="U38" i="33"/>
  <c r="T38" i="33"/>
  <c r="N38" i="33"/>
  <c r="I38" i="33"/>
  <c r="H38" i="33"/>
  <c r="B38" i="33"/>
  <c r="U37" i="33"/>
  <c r="T37" i="33"/>
  <c r="O37" i="33"/>
  <c r="I37" i="33"/>
  <c r="H37" i="33"/>
  <c r="C37" i="33"/>
  <c r="U24" i="33"/>
  <c r="T24" i="33"/>
  <c r="O24" i="33"/>
  <c r="N24" i="33"/>
  <c r="I24" i="33"/>
  <c r="H24" i="33"/>
  <c r="C24" i="33"/>
  <c r="B24" i="33"/>
  <c r="U23" i="33"/>
  <c r="T23" i="33"/>
  <c r="O23" i="33"/>
  <c r="N23" i="33"/>
  <c r="I23" i="33"/>
  <c r="H23" i="33"/>
  <c r="C23" i="33"/>
  <c r="B23" i="33"/>
  <c r="U20" i="33"/>
  <c r="T20" i="33"/>
  <c r="O20" i="33"/>
  <c r="N20" i="33"/>
  <c r="I20" i="33"/>
  <c r="H20" i="33"/>
  <c r="C20" i="33"/>
  <c r="B20" i="33"/>
  <c r="U19" i="33"/>
  <c r="T19" i="33"/>
  <c r="O19" i="33"/>
  <c r="N19" i="33"/>
  <c r="I19" i="33"/>
  <c r="H19" i="33"/>
  <c r="C19" i="33"/>
  <c r="B19" i="33"/>
  <c r="U16" i="33"/>
  <c r="T16" i="33"/>
  <c r="O16" i="33"/>
  <c r="N16" i="33"/>
  <c r="I16" i="33"/>
  <c r="H16" i="33"/>
  <c r="C16" i="33"/>
  <c r="B16" i="33"/>
  <c r="U15" i="33"/>
  <c r="T15" i="33"/>
  <c r="O15" i="33"/>
  <c r="N15" i="33"/>
  <c r="M15" i="33"/>
  <c r="M16" i="33" s="1"/>
  <c r="S15" i="33" s="1"/>
  <c r="S16" i="33" s="1"/>
  <c r="I15" i="33"/>
  <c r="H15" i="33"/>
  <c r="C15" i="33"/>
  <c r="B15" i="33"/>
  <c r="A15" i="33"/>
  <c r="A16" i="33" s="1"/>
  <c r="G15" i="33" s="1"/>
  <c r="G16" i="33" s="1"/>
  <c r="V12" i="33"/>
  <c r="V63" i="33" s="1"/>
  <c r="P12" i="33"/>
  <c r="P63" i="33" s="1"/>
  <c r="J12" i="33"/>
  <c r="J63" i="33" s="1"/>
  <c r="D12" i="33"/>
  <c r="D63" i="33" s="1"/>
  <c r="V11" i="33"/>
  <c r="V62" i="33" s="1"/>
  <c r="J11" i="33"/>
  <c r="J62" i="33" s="1"/>
  <c r="D11" i="33"/>
  <c r="D62" i="33" s="1"/>
  <c r="V10" i="33"/>
  <c r="V61" i="33" s="1"/>
  <c r="J10" i="33"/>
  <c r="J61" i="33" s="1"/>
  <c r="V9" i="33"/>
  <c r="V60" i="33" s="1"/>
  <c r="J9" i="33"/>
  <c r="J60" i="33" s="1"/>
  <c r="L4" i="33"/>
  <c r="T69" i="32"/>
  <c r="S69" i="32"/>
  <c r="N69" i="32"/>
  <c r="M69" i="32"/>
  <c r="H69" i="32"/>
  <c r="G69" i="32"/>
  <c r="B69" i="32"/>
  <c r="A69" i="32"/>
  <c r="T68" i="32"/>
  <c r="S68" i="32"/>
  <c r="N68" i="32"/>
  <c r="M68" i="32"/>
  <c r="H68" i="32"/>
  <c r="G68" i="32"/>
  <c r="B68" i="32"/>
  <c r="A68" i="32"/>
  <c r="T67" i="32"/>
  <c r="S67" i="32"/>
  <c r="N67" i="32"/>
  <c r="M67" i="32"/>
  <c r="H67" i="32"/>
  <c r="G67" i="32"/>
  <c r="B67" i="32"/>
  <c r="A67" i="32"/>
  <c r="D27" i="32" s="1"/>
  <c r="D51" i="32" s="1"/>
  <c r="N64" i="32"/>
  <c r="M64" i="32"/>
  <c r="H64" i="32"/>
  <c r="G64" i="32"/>
  <c r="B64" i="32"/>
  <c r="A64" i="32"/>
  <c r="N63" i="32"/>
  <c r="M63" i="32"/>
  <c r="H63" i="32"/>
  <c r="G63" i="32"/>
  <c r="B63" i="32"/>
  <c r="A63" i="32"/>
  <c r="N60" i="32"/>
  <c r="M60" i="32"/>
  <c r="H60" i="32"/>
  <c r="G60" i="32"/>
  <c r="B60" i="32"/>
  <c r="A60" i="32"/>
  <c r="N59" i="32"/>
  <c r="M59" i="32"/>
  <c r="H59" i="32"/>
  <c r="G59" i="32"/>
  <c r="B59" i="32"/>
  <c r="A59" i="32"/>
  <c r="N56" i="32"/>
  <c r="M56" i="32"/>
  <c r="H56" i="32"/>
  <c r="G56" i="32"/>
  <c r="B56" i="32"/>
  <c r="A56" i="32"/>
  <c r="N55" i="32"/>
  <c r="M55" i="32"/>
  <c r="H55" i="32"/>
  <c r="G55" i="32"/>
  <c r="B55" i="32"/>
  <c r="A55" i="32"/>
  <c r="U53" i="32"/>
  <c r="O53" i="32"/>
  <c r="I53" i="32"/>
  <c r="J29" i="32" s="1"/>
  <c r="J53" i="32" s="1"/>
  <c r="C53" i="32"/>
  <c r="U52" i="32"/>
  <c r="O52" i="32"/>
  <c r="I52" i="32"/>
  <c r="C52" i="32"/>
  <c r="U51" i="32"/>
  <c r="O51" i="32"/>
  <c r="I51" i="32"/>
  <c r="C51" i="32"/>
  <c r="O48" i="32"/>
  <c r="N48" i="32"/>
  <c r="I48" i="32"/>
  <c r="H48" i="32"/>
  <c r="C48" i="32"/>
  <c r="B48" i="32"/>
  <c r="O47" i="32"/>
  <c r="N47" i="32"/>
  <c r="I47" i="32"/>
  <c r="H47" i="32"/>
  <c r="C47" i="32"/>
  <c r="B47" i="32"/>
  <c r="O46" i="32"/>
  <c r="N46" i="32"/>
  <c r="I46" i="32"/>
  <c r="H46" i="32"/>
  <c r="C46" i="32"/>
  <c r="B46" i="32"/>
  <c r="O45" i="32"/>
  <c r="N45" i="32"/>
  <c r="I45" i="32"/>
  <c r="H45" i="32"/>
  <c r="C45" i="32"/>
  <c r="B45" i="32"/>
  <c r="H34" i="32"/>
  <c r="U33" i="32"/>
  <c r="N32" i="32"/>
  <c r="V29" i="32"/>
  <c r="V53" i="32" s="1"/>
  <c r="T29" i="32"/>
  <c r="T53" i="32" s="1"/>
  <c r="P29" i="32"/>
  <c r="P53" i="32" s="1"/>
  <c r="N29" i="32"/>
  <c r="O34" i="32" s="1"/>
  <c r="H29" i="32"/>
  <c r="H53" i="32" s="1"/>
  <c r="D29" i="32"/>
  <c r="D53" i="32" s="1"/>
  <c r="B29" i="32"/>
  <c r="C34" i="32" s="1"/>
  <c r="V28" i="32"/>
  <c r="V52" i="32" s="1"/>
  <c r="T28" i="32"/>
  <c r="T34" i="32" s="1"/>
  <c r="N28" i="32"/>
  <c r="O32" i="32" s="1"/>
  <c r="J28" i="32"/>
  <c r="J52" i="32" s="1"/>
  <c r="H28" i="32"/>
  <c r="H52" i="32" s="1"/>
  <c r="B28" i="32"/>
  <c r="C32" i="32" s="1"/>
  <c r="V27" i="32"/>
  <c r="V51" i="32" s="1"/>
  <c r="S51" i="32" s="1"/>
  <c r="T27" i="32"/>
  <c r="T33" i="32" s="1"/>
  <c r="N27" i="32"/>
  <c r="N51" i="32" s="1"/>
  <c r="J27" i="32"/>
  <c r="J51" i="32" s="1"/>
  <c r="H27" i="32"/>
  <c r="H51" i="32" s="1"/>
  <c r="B27" i="32"/>
  <c r="B51" i="32" s="1"/>
  <c r="O23" i="32"/>
  <c r="N23" i="32"/>
  <c r="I23" i="32"/>
  <c r="H23" i="32"/>
  <c r="C23" i="32"/>
  <c r="B23" i="32"/>
  <c r="O22" i="32"/>
  <c r="N22" i="32"/>
  <c r="I22" i="32"/>
  <c r="H22" i="32"/>
  <c r="C22" i="32"/>
  <c r="B22" i="32"/>
  <c r="O19" i="32"/>
  <c r="N19" i="32"/>
  <c r="I19" i="32"/>
  <c r="H19" i="32"/>
  <c r="C19" i="32"/>
  <c r="B19" i="32"/>
  <c r="O18" i="32"/>
  <c r="N18" i="32"/>
  <c r="I18" i="32"/>
  <c r="H18" i="32"/>
  <c r="C18" i="32"/>
  <c r="B18" i="32"/>
  <c r="O15" i="32"/>
  <c r="N15" i="32"/>
  <c r="I15" i="32"/>
  <c r="H15" i="32"/>
  <c r="C15" i="32"/>
  <c r="B15" i="32"/>
  <c r="A15" i="32"/>
  <c r="G14" i="32" s="1"/>
  <c r="G15" i="32" s="1"/>
  <c r="M14" i="32" s="1"/>
  <c r="M15" i="32" s="1"/>
  <c r="A18" i="32" s="1"/>
  <c r="A19" i="32" s="1"/>
  <c r="G18" i="32" s="1"/>
  <c r="G19" i="32" s="1"/>
  <c r="M18" i="32" s="1"/>
  <c r="M19" i="32" s="1"/>
  <c r="A22" i="32" s="1"/>
  <c r="A23" i="32" s="1"/>
  <c r="G22" i="32" s="1"/>
  <c r="G23" i="32" s="1"/>
  <c r="M22" i="32" s="1"/>
  <c r="M23" i="32" s="1"/>
  <c r="A32" i="32" s="1"/>
  <c r="G32" i="32" s="1"/>
  <c r="M32" i="32" s="1"/>
  <c r="S32" i="32" s="1"/>
  <c r="A33" i="32" s="1"/>
  <c r="G33" i="32" s="1"/>
  <c r="M33" i="32" s="1"/>
  <c r="S33" i="32" s="1"/>
  <c r="A34" i="32" s="1"/>
  <c r="G34" i="32" s="1"/>
  <c r="M34" i="32" s="1"/>
  <c r="S34" i="32" s="1"/>
  <c r="E5" i="32" s="1"/>
  <c r="O14" i="32"/>
  <c r="N14" i="32"/>
  <c r="I14" i="32"/>
  <c r="H14" i="32"/>
  <c r="C14" i="32"/>
  <c r="B14" i="32"/>
  <c r="A14" i="32"/>
  <c r="P11" i="32"/>
  <c r="P48" i="32" s="1"/>
  <c r="P9" i="32"/>
  <c r="P46" i="32" s="1"/>
  <c r="D9" i="32"/>
  <c r="D46" i="32" s="1"/>
  <c r="P8" i="32"/>
  <c r="P45" i="32" s="1"/>
  <c r="J8" i="32"/>
  <c r="J45" i="32" s="1"/>
  <c r="L4" i="32"/>
  <c r="U37" i="31"/>
  <c r="O37" i="31"/>
  <c r="I37" i="31"/>
  <c r="H37" i="31"/>
  <c r="C37" i="31"/>
  <c r="B37" i="31"/>
  <c r="U36" i="31"/>
  <c r="O36" i="31"/>
  <c r="I36" i="31"/>
  <c r="H36" i="31"/>
  <c r="C36" i="31"/>
  <c r="B36" i="31"/>
  <c r="U35" i="31"/>
  <c r="O35" i="31"/>
  <c r="I35" i="31"/>
  <c r="H35" i="31"/>
  <c r="C35" i="31"/>
  <c r="B35" i="31"/>
  <c r="U34" i="31"/>
  <c r="O34" i="31"/>
  <c r="I34" i="31"/>
  <c r="H34" i="31"/>
  <c r="C34" i="31"/>
  <c r="B34" i="31"/>
  <c r="Y24" i="31"/>
  <c r="AR23" i="31"/>
  <c r="AQ23" i="31"/>
  <c r="AL23" i="31"/>
  <c r="AK23" i="31"/>
  <c r="AF23" i="31"/>
  <c r="AE23" i="31"/>
  <c r="Z23" i="31"/>
  <c r="Y23" i="31"/>
  <c r="U23" i="31"/>
  <c r="I23" i="31"/>
  <c r="H23" i="31"/>
  <c r="C23" i="31"/>
  <c r="B23" i="31"/>
  <c r="AR22" i="31"/>
  <c r="AQ22" i="31"/>
  <c r="AL22" i="31"/>
  <c r="AK22" i="31"/>
  <c r="AF22" i="31"/>
  <c r="AE22" i="31"/>
  <c r="Z22" i="31"/>
  <c r="Y22" i="31"/>
  <c r="I22" i="31"/>
  <c r="H22" i="31"/>
  <c r="C22" i="31"/>
  <c r="B22" i="31"/>
  <c r="AR19" i="31"/>
  <c r="V11" i="31" s="1"/>
  <c r="V37" i="31" s="1"/>
  <c r="AQ19" i="31"/>
  <c r="V9" i="31" s="1"/>
  <c r="V35" i="31" s="1"/>
  <c r="AL19" i="31"/>
  <c r="AK19" i="31"/>
  <c r="AF19" i="31"/>
  <c r="AE19" i="31"/>
  <c r="J9" i="31" s="1"/>
  <c r="J35" i="31" s="1"/>
  <c r="Z19" i="31"/>
  <c r="Y19" i="31"/>
  <c r="I19" i="31"/>
  <c r="H19" i="31"/>
  <c r="C19" i="31"/>
  <c r="B19" i="31"/>
  <c r="AR18" i="31"/>
  <c r="AQ18" i="31"/>
  <c r="AL18" i="31"/>
  <c r="AK18" i="31"/>
  <c r="AF18" i="31"/>
  <c r="J10" i="31" s="1"/>
  <c r="J36" i="31" s="1"/>
  <c r="AE18" i="31"/>
  <c r="Z18" i="31"/>
  <c r="Y18" i="31"/>
  <c r="U18" i="31"/>
  <c r="I18" i="31"/>
  <c r="H18" i="31"/>
  <c r="C18" i="31"/>
  <c r="B18" i="31"/>
  <c r="AR15" i="31"/>
  <c r="AQ15" i="31"/>
  <c r="V10" i="31" s="1"/>
  <c r="V36" i="31" s="1"/>
  <c r="AL15" i="31"/>
  <c r="P11" i="31" s="1"/>
  <c r="P37" i="31" s="1"/>
  <c r="AK15" i="31"/>
  <c r="AF15" i="31"/>
  <c r="AE15" i="31"/>
  <c r="Z15" i="31"/>
  <c r="D11" i="31" s="1"/>
  <c r="D37" i="31" s="1"/>
  <c r="Y15" i="31"/>
  <c r="I15" i="31"/>
  <c r="H15" i="31"/>
  <c r="C15" i="31"/>
  <c r="B15" i="31"/>
  <c r="AR14" i="31"/>
  <c r="AQ14" i="31"/>
  <c r="V8" i="31" s="1"/>
  <c r="V34" i="31" s="1"/>
  <c r="S34" i="31" s="1"/>
  <c r="AL14" i="31"/>
  <c r="AK14" i="31"/>
  <c r="AF14" i="31"/>
  <c r="AE14" i="31"/>
  <c r="J8" i="31" s="1"/>
  <c r="J34" i="31" s="1"/>
  <c r="G34" i="31" s="1"/>
  <c r="Z14" i="31"/>
  <c r="D9" i="31" s="1"/>
  <c r="D35" i="31" s="1"/>
  <c r="Y14" i="31"/>
  <c r="T14" i="31"/>
  <c r="S14" i="31"/>
  <c r="S15" i="31" s="1"/>
  <c r="M18" i="31" s="1"/>
  <c r="M19" i="31" s="1"/>
  <c r="S18" i="31" s="1"/>
  <c r="S19" i="31" s="1"/>
  <c r="M22" i="31" s="1"/>
  <c r="M23" i="31" s="1"/>
  <c r="S22" i="31" s="1"/>
  <c r="S23" i="31" s="1"/>
  <c r="E5" i="31" s="1"/>
  <c r="I14" i="31"/>
  <c r="H14" i="31"/>
  <c r="C14" i="31"/>
  <c r="B14" i="31"/>
  <c r="A14" i="31"/>
  <c r="A15" i="31" s="1"/>
  <c r="G14" i="31" s="1"/>
  <c r="G15" i="31" s="1"/>
  <c r="A18" i="31" s="1"/>
  <c r="A19" i="31" s="1"/>
  <c r="G18" i="31" s="1"/>
  <c r="G19" i="31" s="1"/>
  <c r="A22" i="31" s="1"/>
  <c r="A23" i="31" s="1"/>
  <c r="G22" i="31" s="1"/>
  <c r="G23" i="31" s="1"/>
  <c r="M14" i="31" s="1"/>
  <c r="M15" i="31" s="1"/>
  <c r="T11" i="31"/>
  <c r="U22" i="31" s="1"/>
  <c r="N11" i="31"/>
  <c r="O22" i="31" s="1"/>
  <c r="J11" i="31"/>
  <c r="J37" i="31" s="1"/>
  <c r="T10" i="31"/>
  <c r="T36" i="31" s="1"/>
  <c r="N10" i="31"/>
  <c r="O23" i="31" s="1"/>
  <c r="T9" i="31"/>
  <c r="U14" i="31" s="1"/>
  <c r="P9" i="31"/>
  <c r="P35" i="31" s="1"/>
  <c r="N9" i="31"/>
  <c r="O14" i="31" s="1"/>
  <c r="T8" i="31"/>
  <c r="T34" i="31" s="1"/>
  <c r="P8" i="31"/>
  <c r="P34" i="31" s="1"/>
  <c r="N8" i="31"/>
  <c r="N22" i="31" s="1"/>
  <c r="D8" i="31"/>
  <c r="D34" i="31" s="1"/>
  <c r="L4" i="31"/>
  <c r="H51" i="30"/>
  <c r="G51" i="30"/>
  <c r="B51" i="30"/>
  <c r="A51" i="30"/>
  <c r="H50" i="30"/>
  <c r="G50" i="30"/>
  <c r="B50" i="30"/>
  <c r="A50" i="30"/>
  <c r="H47" i="30"/>
  <c r="G47" i="30"/>
  <c r="B47" i="30"/>
  <c r="A47" i="30"/>
  <c r="D10" i="30" s="1"/>
  <c r="D38" i="30" s="1"/>
  <c r="H46" i="30"/>
  <c r="J11" i="30" s="1"/>
  <c r="J39" i="30" s="1"/>
  <c r="G46" i="30"/>
  <c r="B46" i="30"/>
  <c r="A46" i="30"/>
  <c r="H43" i="30"/>
  <c r="J12" i="30" s="1"/>
  <c r="J40" i="30" s="1"/>
  <c r="G43" i="30"/>
  <c r="B43" i="30"/>
  <c r="A43" i="30"/>
  <c r="H42" i="30"/>
  <c r="J10" i="30" s="1"/>
  <c r="J38" i="30" s="1"/>
  <c r="G42" i="30"/>
  <c r="B42" i="30"/>
  <c r="A42" i="30"/>
  <c r="I40" i="30"/>
  <c r="H40" i="30"/>
  <c r="C40" i="30"/>
  <c r="B40" i="30"/>
  <c r="I39" i="30"/>
  <c r="H39" i="30"/>
  <c r="C39" i="30"/>
  <c r="B39" i="30"/>
  <c r="I38" i="30"/>
  <c r="H38" i="30"/>
  <c r="C38" i="30"/>
  <c r="B38" i="30"/>
  <c r="I37" i="30"/>
  <c r="J9" i="30" s="1"/>
  <c r="J37" i="30" s="1"/>
  <c r="H37" i="30"/>
  <c r="C37" i="30"/>
  <c r="B37" i="30"/>
  <c r="T31" i="30"/>
  <c r="N31" i="30"/>
  <c r="T30" i="30"/>
  <c r="N30" i="30"/>
  <c r="T29" i="30"/>
  <c r="N29" i="30"/>
  <c r="T28" i="30"/>
  <c r="N28" i="30"/>
  <c r="U25" i="30"/>
  <c r="T25" i="30"/>
  <c r="O25" i="30"/>
  <c r="N25" i="30"/>
  <c r="I24" i="30"/>
  <c r="H24" i="30"/>
  <c r="C24" i="30"/>
  <c r="B24" i="30"/>
  <c r="I23" i="30"/>
  <c r="H23" i="30"/>
  <c r="C23" i="30"/>
  <c r="B23" i="30"/>
  <c r="U22" i="30"/>
  <c r="T22" i="30"/>
  <c r="O22" i="30"/>
  <c r="N22" i="30"/>
  <c r="I20" i="30"/>
  <c r="H20" i="30"/>
  <c r="C20" i="30"/>
  <c r="B20" i="30"/>
  <c r="U19" i="30"/>
  <c r="T19" i="30"/>
  <c r="O19" i="30"/>
  <c r="N19" i="30"/>
  <c r="I19" i="30"/>
  <c r="H19" i="30"/>
  <c r="C19" i="30"/>
  <c r="B19" i="30"/>
  <c r="U18" i="30"/>
  <c r="T18" i="30"/>
  <c r="O18" i="30"/>
  <c r="N18" i="30"/>
  <c r="I16" i="30"/>
  <c r="H16" i="30"/>
  <c r="C16" i="30"/>
  <c r="B16" i="30"/>
  <c r="I15" i="30"/>
  <c r="H15" i="30"/>
  <c r="C15" i="30"/>
  <c r="B15" i="30"/>
  <c r="A15" i="30"/>
  <c r="A16" i="30" s="1"/>
  <c r="G15" i="30" s="1"/>
  <c r="G16" i="30" s="1"/>
  <c r="A19" i="30" s="1"/>
  <c r="A20" i="30" s="1"/>
  <c r="G19" i="30" s="1"/>
  <c r="G20" i="30" s="1"/>
  <c r="A23" i="30" s="1"/>
  <c r="A24" i="30" s="1"/>
  <c r="G23" i="30" s="1"/>
  <c r="G24" i="30" s="1"/>
  <c r="M18" i="30" s="1"/>
  <c r="M19" i="30" s="1"/>
  <c r="S18" i="30" s="1"/>
  <c r="S19" i="30" s="1"/>
  <c r="M22" i="30" s="1"/>
  <c r="S22" i="30" s="1"/>
  <c r="M25" i="30" s="1"/>
  <c r="S25" i="30" s="1"/>
  <c r="E5" i="30" s="1"/>
  <c r="D12" i="30"/>
  <c r="D40" i="30" s="1"/>
  <c r="D11" i="30"/>
  <c r="D39" i="30" s="1"/>
  <c r="A39" i="30" s="1"/>
  <c r="D9" i="30"/>
  <c r="D37" i="30" s="1"/>
  <c r="L4" i="30"/>
  <c r="G38" i="30" l="1"/>
  <c r="G35" i="31"/>
  <c r="G36" i="31"/>
  <c r="S36" i="31"/>
  <c r="N37" i="31"/>
  <c r="T15" i="31"/>
  <c r="D10" i="31"/>
  <c r="D36" i="31" s="1"/>
  <c r="A37" i="31" s="1"/>
  <c r="P10" i="31"/>
  <c r="P36" i="31" s="1"/>
  <c r="T22" i="31"/>
  <c r="N35" i="31"/>
  <c r="H33" i="32"/>
  <c r="N34" i="32"/>
  <c r="P9" i="33"/>
  <c r="P60" i="33" s="1"/>
  <c r="M63" i="33" s="1"/>
  <c r="P11" i="33"/>
  <c r="P62" i="33" s="1"/>
  <c r="P10" i="33"/>
  <c r="P61" i="33" s="1"/>
  <c r="B43" i="34"/>
  <c r="C44" i="34"/>
  <c r="C47" i="34"/>
  <c r="B48" i="34"/>
  <c r="C51" i="34"/>
  <c r="N52" i="34"/>
  <c r="B71" i="34"/>
  <c r="N71" i="34"/>
  <c r="B72" i="34"/>
  <c r="N72" i="34"/>
  <c r="N74" i="34"/>
  <c r="D10" i="34"/>
  <c r="D66" i="34" s="1"/>
  <c r="D12" i="34"/>
  <c r="D68" i="34" s="1"/>
  <c r="D11" i="34"/>
  <c r="D67" i="34" s="1"/>
  <c r="H37" i="36"/>
  <c r="N40" i="36"/>
  <c r="O41" i="36"/>
  <c r="H45" i="36"/>
  <c r="A35" i="31"/>
  <c r="T18" i="31"/>
  <c r="N23" i="31"/>
  <c r="G52" i="32"/>
  <c r="H32" i="32"/>
  <c r="N33" i="32"/>
  <c r="U34" i="32"/>
  <c r="J9" i="32"/>
  <c r="J46" i="32" s="1"/>
  <c r="G45" i="32" s="1"/>
  <c r="D11" i="32"/>
  <c r="D48" i="32" s="1"/>
  <c r="J11" i="32"/>
  <c r="J48" i="32" s="1"/>
  <c r="D10" i="32"/>
  <c r="D47" i="32" s="1"/>
  <c r="P10" i="32"/>
  <c r="P47" i="32" s="1"/>
  <c r="G65" i="34"/>
  <c r="M66" i="34"/>
  <c r="S67" i="34"/>
  <c r="C43" i="34"/>
  <c r="N44" i="34"/>
  <c r="I47" i="34"/>
  <c r="C48" i="34"/>
  <c r="N51" i="34"/>
  <c r="H44" i="35"/>
  <c r="G15" i="36"/>
  <c r="H36" i="36"/>
  <c r="N37" i="36"/>
  <c r="O40" i="36"/>
  <c r="H44" i="36"/>
  <c r="N45" i="36"/>
  <c r="T34" i="37"/>
  <c r="D8" i="32"/>
  <c r="D45" i="32" s="1"/>
  <c r="A45" i="32" s="1"/>
  <c r="J10" i="32"/>
  <c r="J47" i="32" s="1"/>
  <c r="P27" i="32"/>
  <c r="P51" i="32" s="1"/>
  <c r="M51" i="32" s="1"/>
  <c r="D28" i="32"/>
  <c r="D52" i="32" s="1"/>
  <c r="A51" i="32" s="1"/>
  <c r="P28" i="32"/>
  <c r="P52" i="32" s="1"/>
  <c r="N43" i="34"/>
  <c r="U44" i="34"/>
  <c r="N48" i="34"/>
  <c r="T71" i="34"/>
  <c r="N73" i="34"/>
  <c r="I47" i="35"/>
  <c r="N36" i="36"/>
  <c r="O37" i="36"/>
  <c r="H41" i="36"/>
  <c r="AI37" i="39"/>
  <c r="AI71" i="39" s="1"/>
  <c r="S35" i="31"/>
  <c r="M48" i="32"/>
  <c r="N19" i="31"/>
  <c r="U32" i="32"/>
  <c r="T47" i="34"/>
  <c r="A65" i="34"/>
  <c r="I43" i="35"/>
  <c r="I51" i="35"/>
  <c r="O36" i="36"/>
  <c r="F15" i="37"/>
  <c r="J14" i="37" s="1"/>
  <c r="W35" i="39"/>
  <c r="W69" i="39" s="1"/>
  <c r="U42" i="37"/>
  <c r="L33" i="37"/>
  <c r="L34" i="37"/>
  <c r="L41" i="37"/>
  <c r="L37" i="37"/>
  <c r="C34" i="37"/>
  <c r="X37" i="37"/>
  <c r="X41" i="37"/>
  <c r="P38" i="37"/>
  <c r="P42" i="37"/>
  <c r="D34" i="37"/>
  <c r="D38" i="37"/>
  <c r="D42" i="37"/>
  <c r="G89" i="43"/>
  <c r="M89" i="43"/>
  <c r="A90" i="43"/>
  <c r="M90" i="43" s="1"/>
  <c r="S70" i="43"/>
  <c r="G71" i="43"/>
  <c r="B86" i="41"/>
  <c r="B115" i="41" s="1"/>
  <c r="B83" i="41"/>
  <c r="H117" i="41" s="1"/>
  <c r="B110" i="41"/>
  <c r="N115" i="41" s="1"/>
  <c r="B107" i="41"/>
  <c r="T117" i="41" s="1"/>
  <c r="N86" i="41"/>
  <c r="B119" i="41" s="1"/>
  <c r="N83" i="41"/>
  <c r="H121" i="41" s="1"/>
  <c r="T18" i="49"/>
  <c r="T19" i="49" s="1"/>
  <c r="Z18" i="49" s="1"/>
  <c r="Z19" i="49" s="1"/>
  <c r="N19" i="49"/>
  <c r="M71" i="48"/>
  <c r="G70" i="48"/>
  <c r="G71" i="48" s="1"/>
  <c r="A90" i="48"/>
  <c r="M89" i="48"/>
  <c r="S70" i="48"/>
  <c r="M91" i="42"/>
  <c r="M25" i="42"/>
  <c r="S24" i="42"/>
  <c r="S71" i="42"/>
  <c r="G72" i="42"/>
  <c r="A99" i="41"/>
  <c r="S96" i="41"/>
  <c r="M79" i="41"/>
  <c r="A80" i="41"/>
  <c r="U28" i="45"/>
  <c r="W29" i="45"/>
  <c r="U29" i="45"/>
  <c r="K30" i="45"/>
  <c r="I28" i="45"/>
  <c r="K29" i="45"/>
  <c r="U30" i="45"/>
  <c r="U31" i="45"/>
  <c r="H145" i="45"/>
  <c r="O29" i="45"/>
  <c r="H143" i="45"/>
  <c r="I29" i="45"/>
  <c r="N142" i="45"/>
  <c r="O54" i="45" s="1"/>
  <c r="W31" i="45"/>
  <c r="I30" i="45"/>
  <c r="C66" i="45" s="1"/>
  <c r="I31" i="45"/>
  <c r="D65" i="45" s="1"/>
  <c r="K31" i="45"/>
  <c r="W30" i="45"/>
  <c r="B66" i="45"/>
  <c r="H65" i="45"/>
  <c r="Q28" i="45"/>
  <c r="C28" i="45"/>
  <c r="H142" i="45"/>
  <c r="I55" i="45" s="1"/>
  <c r="C30" i="45"/>
  <c r="C65" i="45" s="1"/>
  <c r="Q54" i="45"/>
  <c r="O31" i="45"/>
  <c r="Q31" i="45"/>
  <c r="O30" i="45"/>
  <c r="N143" i="45"/>
  <c r="N145" i="45"/>
  <c r="W55" i="45"/>
  <c r="U55" i="45"/>
  <c r="W56" i="45"/>
  <c r="U56" i="45"/>
  <c r="W57" i="45"/>
  <c r="U57" i="45"/>
  <c r="W54" i="45"/>
  <c r="U54" i="45"/>
  <c r="E29" i="45"/>
  <c r="C29" i="45"/>
  <c r="E30" i="45"/>
  <c r="Q29" i="45"/>
  <c r="C31" i="45"/>
  <c r="D66" i="45" s="1"/>
  <c r="E31" i="45"/>
  <c r="Q30" i="45"/>
  <c r="D10" i="33"/>
  <c r="D61" i="33" s="1"/>
  <c r="A61" i="33" s="1"/>
  <c r="S60" i="33"/>
  <c r="G62" i="33"/>
  <c r="E37" i="39"/>
  <c r="E71" i="39" s="1"/>
  <c r="Q38" i="39"/>
  <c r="Q72" i="39" s="1"/>
  <c r="Q37" i="39"/>
  <c r="Q71" i="39" s="1"/>
  <c r="AF69" i="39"/>
  <c r="AF70" i="39"/>
  <c r="AF71" i="39"/>
  <c r="AF72" i="39"/>
  <c r="W36" i="39"/>
  <c r="W70" i="39" s="1"/>
  <c r="W37" i="39"/>
  <c r="W71" i="39" s="1"/>
  <c r="E35" i="39"/>
  <c r="E69" i="39" s="1"/>
  <c r="E38" i="39"/>
  <c r="E72" i="39" s="1"/>
  <c r="Q11" i="39"/>
  <c r="Q66" i="39" s="1"/>
  <c r="K11" i="39"/>
  <c r="K66" i="39" s="1"/>
  <c r="K10" i="39"/>
  <c r="K65" i="39" s="1"/>
  <c r="K8" i="39"/>
  <c r="K63" i="39" s="1"/>
  <c r="K9" i="39"/>
  <c r="K64" i="39" s="1"/>
  <c r="AC35" i="39"/>
  <c r="AC69" i="39" s="1"/>
  <c r="AC38" i="39"/>
  <c r="AC72" i="39" s="1"/>
  <c r="AI10" i="39"/>
  <c r="AI65" i="39" s="1"/>
  <c r="AI11" i="39"/>
  <c r="AI66" i="39" s="1"/>
  <c r="E8" i="39"/>
  <c r="E63" i="39" s="1"/>
  <c r="E9" i="39"/>
  <c r="E64" i="39" s="1"/>
  <c r="E10" i="39"/>
  <c r="E65" i="39" s="1"/>
  <c r="Q8" i="39"/>
  <c r="Q63" i="39" s="1"/>
  <c r="Q10" i="39"/>
  <c r="Q65" i="39" s="1"/>
  <c r="Q9" i="39"/>
  <c r="Q64" i="39" s="1"/>
  <c r="E36" i="39"/>
  <c r="E70" i="39" s="1"/>
  <c r="B72" i="39" s="1"/>
  <c r="Q36" i="39"/>
  <c r="Q70" i="39" s="1"/>
  <c r="N69" i="39" s="1"/>
  <c r="Q54" i="39" s="1"/>
  <c r="AI8" i="39"/>
  <c r="AI63" i="39" s="1"/>
  <c r="AC9" i="39"/>
  <c r="AC64" i="39" s="1"/>
  <c r="AI9" i="39"/>
  <c r="AI64" i="39" s="1"/>
  <c r="H69" i="39"/>
  <c r="K54" i="39" s="1"/>
  <c r="W11" i="39"/>
  <c r="W66" i="39" s="1"/>
  <c r="AC11" i="39"/>
  <c r="AC66" i="39" s="1"/>
  <c r="W8" i="39"/>
  <c r="W63" i="39" s="1"/>
  <c r="W10" i="39"/>
  <c r="W65" i="39" s="1"/>
  <c r="W9" i="39"/>
  <c r="W64" i="39" s="1"/>
  <c r="AC10" i="39"/>
  <c r="AC65" i="39" s="1"/>
  <c r="AC37" i="39"/>
  <c r="AC71" i="39" s="1"/>
  <c r="AC36" i="39"/>
  <c r="AC70" i="39" s="1"/>
  <c r="H14" i="39"/>
  <c r="H15" i="39" s="1"/>
  <c r="N14" i="39" s="1"/>
  <c r="AC8" i="39"/>
  <c r="AC63" i="39" s="1"/>
  <c r="H71" i="39"/>
  <c r="H70" i="39"/>
  <c r="H72" i="39"/>
  <c r="J15" i="37"/>
  <c r="O15" i="37"/>
  <c r="S14" i="37" s="1"/>
  <c r="O14" i="37"/>
  <c r="P34" i="37"/>
  <c r="B15" i="37"/>
  <c r="C33" i="37"/>
  <c r="H33" i="37"/>
  <c r="T33" i="37"/>
  <c r="Y33" i="37"/>
  <c r="K34" i="37"/>
  <c r="Q34" i="37"/>
  <c r="C37" i="37"/>
  <c r="H37" i="37"/>
  <c r="T37" i="37"/>
  <c r="Y37" i="37"/>
  <c r="K38" i="37"/>
  <c r="Q38" i="37"/>
  <c r="H41" i="37"/>
  <c r="Y41" i="37"/>
  <c r="Q42" i="37"/>
  <c r="D33" i="37"/>
  <c r="P33" i="37"/>
  <c r="U33" i="37"/>
  <c r="G34" i="37"/>
  <c r="X34" i="37"/>
  <c r="P37" i="37"/>
  <c r="G38" i="37"/>
  <c r="X38" i="37"/>
  <c r="H34" i="37"/>
  <c r="Y34" i="37"/>
  <c r="C38" i="37"/>
  <c r="T38" i="37"/>
  <c r="G16" i="36"/>
  <c r="M16" i="36" s="1"/>
  <c r="S16" i="36"/>
  <c r="A19" i="36" s="1"/>
  <c r="U36" i="36"/>
  <c r="U37" i="36"/>
  <c r="U40" i="36"/>
  <c r="U41" i="36"/>
  <c r="U45" i="36"/>
  <c r="B36" i="36"/>
  <c r="B37" i="36"/>
  <c r="I37" i="36"/>
  <c r="B40" i="36"/>
  <c r="I40" i="36"/>
  <c r="B41" i="36"/>
  <c r="I41" i="36"/>
  <c r="B45" i="36"/>
  <c r="T36" i="36"/>
  <c r="C37" i="36"/>
  <c r="C40" i="36"/>
  <c r="T40" i="36"/>
  <c r="C41" i="36"/>
  <c r="T41" i="36"/>
  <c r="N51" i="35"/>
  <c r="N47" i="35"/>
  <c r="N43" i="35"/>
  <c r="N44" i="35"/>
  <c r="O52" i="35"/>
  <c r="N71" i="35"/>
  <c r="A65" i="35"/>
  <c r="G66" i="35"/>
  <c r="M67" i="35"/>
  <c r="B57" i="35"/>
  <c r="N56" i="35"/>
  <c r="A72" i="35"/>
  <c r="M72" i="35"/>
  <c r="A73" i="35"/>
  <c r="D59" i="35" s="1"/>
  <c r="M73" i="35"/>
  <c r="A74" i="35"/>
  <c r="M74" i="35"/>
  <c r="B43" i="35"/>
  <c r="I44" i="35"/>
  <c r="O47" i="35"/>
  <c r="H48" i="35"/>
  <c r="O51" i="35"/>
  <c r="H52" i="35"/>
  <c r="P56" i="35"/>
  <c r="P58" i="35"/>
  <c r="C47" i="35"/>
  <c r="C52" i="35"/>
  <c r="B48" i="35"/>
  <c r="B71" i="35"/>
  <c r="B56" i="35" s="1"/>
  <c r="N72" i="35"/>
  <c r="N57" i="35" s="1"/>
  <c r="N73" i="35"/>
  <c r="G65" i="35"/>
  <c r="M66" i="35"/>
  <c r="A68" i="35"/>
  <c r="T51" i="35"/>
  <c r="T47" i="35"/>
  <c r="U43" i="35"/>
  <c r="T52" i="35"/>
  <c r="T48" i="35"/>
  <c r="U52" i="35"/>
  <c r="U47" i="35"/>
  <c r="T44" i="35"/>
  <c r="U51" i="35"/>
  <c r="U48" i="35"/>
  <c r="U44" i="35"/>
  <c r="C43" i="35"/>
  <c r="B44" i="35"/>
  <c r="B47" i="35"/>
  <c r="I48" i="35"/>
  <c r="I52" i="35"/>
  <c r="D57" i="35"/>
  <c r="H71" i="35"/>
  <c r="T71" i="35"/>
  <c r="T56" i="35" s="1"/>
  <c r="T72" i="35"/>
  <c r="T73" i="35"/>
  <c r="T74" i="35"/>
  <c r="N52" i="35"/>
  <c r="N48" i="35"/>
  <c r="C51" i="35"/>
  <c r="C48" i="35"/>
  <c r="B52" i="35"/>
  <c r="B73" i="35"/>
  <c r="N74" i="35"/>
  <c r="M65" i="35"/>
  <c r="A67" i="35"/>
  <c r="G68" i="35"/>
  <c r="J56" i="35"/>
  <c r="H56" i="35"/>
  <c r="V57" i="35"/>
  <c r="V56" i="35"/>
  <c r="T58" i="35"/>
  <c r="T57" i="35"/>
  <c r="G72" i="35"/>
  <c r="S72" i="35"/>
  <c r="G73" i="35"/>
  <c r="H58" i="35" s="1"/>
  <c r="S73" i="35"/>
  <c r="V59" i="35" s="1"/>
  <c r="G74" i="35"/>
  <c r="S74" i="35"/>
  <c r="H43" i="35"/>
  <c r="C44" i="35"/>
  <c r="O44" i="35"/>
  <c r="H47" i="35"/>
  <c r="P57" i="35"/>
  <c r="P59" i="35"/>
  <c r="V28" i="35"/>
  <c r="S66" i="35"/>
  <c r="V30" i="35" s="1"/>
  <c r="S67" i="35"/>
  <c r="S68" i="35"/>
  <c r="M65" i="34"/>
  <c r="S66" i="34"/>
  <c r="T56" i="34"/>
  <c r="V56" i="34"/>
  <c r="S65" i="34"/>
  <c r="M68" i="34"/>
  <c r="A43" i="34"/>
  <c r="A44" i="34" s="1"/>
  <c r="G43" i="34" s="1"/>
  <c r="G44" i="34" s="1"/>
  <c r="A47" i="34" s="1"/>
  <c r="A48" i="34" s="1"/>
  <c r="G47" i="34" s="1"/>
  <c r="G48" i="34" s="1"/>
  <c r="A51" i="34" s="1"/>
  <c r="A52" i="34" s="1"/>
  <c r="G51" i="34" s="1"/>
  <c r="G52" i="34" s="1"/>
  <c r="M43" i="34"/>
  <c r="M44" i="34" s="1"/>
  <c r="S43" i="34" s="1"/>
  <c r="S44" i="34" s="1"/>
  <c r="M47" i="34" s="1"/>
  <c r="M48" i="34" s="1"/>
  <c r="S47" i="34" s="1"/>
  <c r="S48" i="34" s="1"/>
  <c r="M51" i="34" s="1"/>
  <c r="M52" i="34" s="1"/>
  <c r="S51" i="34" s="1"/>
  <c r="S52" i="34" s="1"/>
  <c r="E5" i="34" s="1"/>
  <c r="B56" i="34"/>
  <c r="D56" i="34"/>
  <c r="N56" i="34"/>
  <c r="P56" i="34"/>
  <c r="A72" i="34"/>
  <c r="B57" i="34" s="1"/>
  <c r="J28" i="34"/>
  <c r="H28" i="34"/>
  <c r="B28" i="34"/>
  <c r="D28" i="34"/>
  <c r="M67" i="34"/>
  <c r="S68" i="34"/>
  <c r="M72" i="34"/>
  <c r="N57" i="34" s="1"/>
  <c r="M73" i="34"/>
  <c r="A74" i="34"/>
  <c r="G66" i="34"/>
  <c r="J29" i="34" s="1"/>
  <c r="G67" i="34"/>
  <c r="H56" i="34"/>
  <c r="G72" i="34"/>
  <c r="H51" i="34"/>
  <c r="H47" i="34"/>
  <c r="H43" i="34"/>
  <c r="H52" i="34"/>
  <c r="H48" i="34"/>
  <c r="U47" i="34"/>
  <c r="T48" i="34"/>
  <c r="A67" i="34"/>
  <c r="A68" i="34"/>
  <c r="S72" i="34"/>
  <c r="T57" i="34" s="1"/>
  <c r="G73" i="34"/>
  <c r="S73" i="34"/>
  <c r="G74" i="34"/>
  <c r="S74" i="34"/>
  <c r="I43" i="34"/>
  <c r="T43" i="34"/>
  <c r="U48" i="34"/>
  <c r="I51" i="34"/>
  <c r="U52" i="34"/>
  <c r="H71" i="34"/>
  <c r="H72" i="34"/>
  <c r="A73" i="34"/>
  <c r="M74" i="34"/>
  <c r="P59" i="34" s="1"/>
  <c r="G68" i="34"/>
  <c r="I48" i="34"/>
  <c r="A66" i="34"/>
  <c r="B30" i="34" s="1"/>
  <c r="U43" i="34"/>
  <c r="I44" i="34"/>
  <c r="T44" i="34"/>
  <c r="U51" i="34"/>
  <c r="I52" i="34"/>
  <c r="T72" i="34"/>
  <c r="H73" i="34"/>
  <c r="O44" i="34"/>
  <c r="O47" i="34"/>
  <c r="O48" i="34"/>
  <c r="M61" i="33"/>
  <c r="A60" i="33"/>
  <c r="G61" i="33"/>
  <c r="S62" i="33"/>
  <c r="S63" i="33"/>
  <c r="M60" i="33"/>
  <c r="G60" i="33"/>
  <c r="S61" i="33"/>
  <c r="M62" i="33"/>
  <c r="V28" i="33"/>
  <c r="A62" i="33"/>
  <c r="G63" i="33"/>
  <c r="M19" i="33"/>
  <c r="M20" i="33" s="1"/>
  <c r="S19" i="33" s="1"/>
  <c r="S20" i="33" s="1"/>
  <c r="M23" i="33" s="1"/>
  <c r="M24" i="33" s="1"/>
  <c r="S23" i="33" s="1"/>
  <c r="S24" i="33" s="1"/>
  <c r="A19" i="33"/>
  <c r="A20" i="33" s="1"/>
  <c r="G19" i="33" s="1"/>
  <c r="G20" i="33" s="1"/>
  <c r="A23" i="33" s="1"/>
  <c r="A24" i="33" s="1"/>
  <c r="G23" i="33" s="1"/>
  <c r="G24" i="33" s="1"/>
  <c r="V38" i="32"/>
  <c r="V8" i="32"/>
  <c r="T8" i="32"/>
  <c r="M52" i="32"/>
  <c r="A46" i="32"/>
  <c r="G51" i="32"/>
  <c r="M46" i="32"/>
  <c r="G47" i="32"/>
  <c r="N38" i="32"/>
  <c r="P38" i="32"/>
  <c r="A52" i="32"/>
  <c r="S52" i="32"/>
  <c r="G53" i="32"/>
  <c r="S53" i="32"/>
  <c r="M45" i="32"/>
  <c r="M53" i="32"/>
  <c r="A53" i="32"/>
  <c r="G46" i="32"/>
  <c r="A48" i="32"/>
  <c r="G48" i="32"/>
  <c r="A47" i="32"/>
  <c r="M47" i="32"/>
  <c r="B32" i="32"/>
  <c r="I32" i="32"/>
  <c r="B33" i="32"/>
  <c r="I33" i="32"/>
  <c r="B34" i="32"/>
  <c r="I34" i="32"/>
  <c r="T51" i="32"/>
  <c r="T38" i="32" s="1"/>
  <c r="B52" i="32"/>
  <c r="N52" i="32"/>
  <c r="T52" i="32"/>
  <c r="B53" i="32"/>
  <c r="N53" i="32"/>
  <c r="O33" i="32"/>
  <c r="T32" i="32"/>
  <c r="C33" i="32"/>
  <c r="V29" i="31"/>
  <c r="V28" i="31"/>
  <c r="V27" i="31"/>
  <c r="T29" i="31"/>
  <c r="T27" i="31"/>
  <c r="J29" i="31"/>
  <c r="J28" i="31"/>
  <c r="J27" i="31"/>
  <c r="H29" i="31"/>
  <c r="H28" i="31"/>
  <c r="H27" i="31"/>
  <c r="M37" i="31"/>
  <c r="M34" i="31"/>
  <c r="M35" i="31"/>
  <c r="A36" i="31"/>
  <c r="G37" i="31"/>
  <c r="J30" i="31" s="1"/>
  <c r="S37" i="31"/>
  <c r="V30" i="31" s="1"/>
  <c r="M36" i="31"/>
  <c r="U19" i="31"/>
  <c r="T19" i="31"/>
  <c r="T23" i="31"/>
  <c r="N34" i="31"/>
  <c r="T35" i="31"/>
  <c r="T28" i="31" s="1"/>
  <c r="N36" i="31"/>
  <c r="T37" i="31"/>
  <c r="N14" i="31"/>
  <c r="N15" i="31"/>
  <c r="U15" i="31"/>
  <c r="N18" i="31"/>
  <c r="O15" i="31"/>
  <c r="O18" i="31"/>
  <c r="O19" i="31"/>
  <c r="A37" i="30"/>
  <c r="G39" i="30"/>
  <c r="A38" i="30"/>
  <c r="G37" i="30"/>
  <c r="A40" i="30"/>
  <c r="G40" i="30"/>
  <c r="T38" i="29"/>
  <c r="T37" i="29"/>
  <c r="N38" i="29"/>
  <c r="N37" i="29"/>
  <c r="H38" i="29"/>
  <c r="I46" i="29" s="1"/>
  <c r="B38" i="29"/>
  <c r="B37" i="29"/>
  <c r="C50" i="29" s="1"/>
  <c r="H37" i="29"/>
  <c r="T42" i="29"/>
  <c r="T109" i="29"/>
  <c r="S109" i="29"/>
  <c r="N109" i="29"/>
  <c r="M109" i="29"/>
  <c r="H109" i="29"/>
  <c r="G109" i="29"/>
  <c r="B109" i="29"/>
  <c r="A109" i="29"/>
  <c r="T108" i="29"/>
  <c r="S108" i="29"/>
  <c r="N108" i="29"/>
  <c r="M108" i="29"/>
  <c r="H108" i="29"/>
  <c r="G108" i="29"/>
  <c r="B108" i="29"/>
  <c r="A108" i="29"/>
  <c r="T105" i="29"/>
  <c r="S105" i="29"/>
  <c r="N105" i="29"/>
  <c r="M105" i="29"/>
  <c r="H105" i="29"/>
  <c r="G105" i="29"/>
  <c r="B105" i="29"/>
  <c r="A105" i="29"/>
  <c r="T104" i="29"/>
  <c r="S104" i="29"/>
  <c r="N104" i="29"/>
  <c r="M104" i="29"/>
  <c r="H104" i="29"/>
  <c r="G104" i="29"/>
  <c r="B104" i="29"/>
  <c r="A104" i="29"/>
  <c r="T101" i="29"/>
  <c r="S101" i="29"/>
  <c r="V37" i="29" s="1"/>
  <c r="V71" i="29" s="1"/>
  <c r="N101" i="29"/>
  <c r="M101" i="29"/>
  <c r="H101" i="29"/>
  <c r="G101" i="29"/>
  <c r="J37" i="29" s="1"/>
  <c r="J71" i="29" s="1"/>
  <c r="B101" i="29"/>
  <c r="A101" i="29"/>
  <c r="T100" i="29"/>
  <c r="S100" i="29"/>
  <c r="V35" i="29" s="1"/>
  <c r="V69" i="29" s="1"/>
  <c r="N100" i="29"/>
  <c r="M100" i="29"/>
  <c r="P35" i="29" s="1"/>
  <c r="P69" i="29" s="1"/>
  <c r="H100" i="29"/>
  <c r="G100" i="29"/>
  <c r="J35" i="29" s="1"/>
  <c r="J69" i="29" s="1"/>
  <c r="B100" i="29"/>
  <c r="A100" i="29"/>
  <c r="D35" i="29" s="1"/>
  <c r="D69" i="29" s="1"/>
  <c r="T83" i="29"/>
  <c r="S83" i="29"/>
  <c r="N83" i="29"/>
  <c r="M83" i="29"/>
  <c r="H83" i="29"/>
  <c r="G83" i="29"/>
  <c r="B83" i="29"/>
  <c r="A83" i="29"/>
  <c r="T82" i="29"/>
  <c r="S82" i="29"/>
  <c r="N82" i="29"/>
  <c r="M82" i="29"/>
  <c r="H82" i="29"/>
  <c r="G82" i="29"/>
  <c r="B82" i="29"/>
  <c r="A82" i="29"/>
  <c r="T79" i="29"/>
  <c r="S79" i="29"/>
  <c r="N79" i="29"/>
  <c r="M79" i="29"/>
  <c r="H79" i="29"/>
  <c r="G79" i="29"/>
  <c r="B79" i="29"/>
  <c r="A79" i="29"/>
  <c r="T78" i="29"/>
  <c r="S78" i="29"/>
  <c r="N78" i="29"/>
  <c r="M78" i="29"/>
  <c r="H78" i="29"/>
  <c r="G78" i="29"/>
  <c r="B78" i="29"/>
  <c r="A78" i="29"/>
  <c r="T75" i="29"/>
  <c r="S75" i="29"/>
  <c r="N75" i="29"/>
  <c r="M75" i="29"/>
  <c r="H75" i="29"/>
  <c r="G75" i="29"/>
  <c r="B75" i="29"/>
  <c r="A75" i="29"/>
  <c r="T74" i="29"/>
  <c r="S74" i="29"/>
  <c r="N74" i="29"/>
  <c r="M74" i="29"/>
  <c r="H74" i="29"/>
  <c r="G74" i="29"/>
  <c r="B74" i="29"/>
  <c r="A74" i="29"/>
  <c r="U72" i="29"/>
  <c r="O72" i="29"/>
  <c r="I72" i="29"/>
  <c r="H72" i="29"/>
  <c r="C72" i="29"/>
  <c r="U71" i="29"/>
  <c r="O71" i="29"/>
  <c r="I71" i="29"/>
  <c r="C71" i="29"/>
  <c r="B71" i="29"/>
  <c r="U70" i="29"/>
  <c r="O70" i="29"/>
  <c r="I70" i="29"/>
  <c r="C70" i="29"/>
  <c r="U69" i="29"/>
  <c r="O69" i="29"/>
  <c r="I69" i="29"/>
  <c r="C69" i="29"/>
  <c r="U66" i="29"/>
  <c r="V11" i="29" s="1"/>
  <c r="V66" i="29" s="1"/>
  <c r="T66" i="29"/>
  <c r="O66" i="29"/>
  <c r="N66" i="29"/>
  <c r="I66" i="29"/>
  <c r="H66" i="29"/>
  <c r="C66" i="29"/>
  <c r="B66" i="29"/>
  <c r="U65" i="29"/>
  <c r="T65" i="29"/>
  <c r="O65" i="29"/>
  <c r="N65" i="29"/>
  <c r="I65" i="29"/>
  <c r="H65" i="29"/>
  <c r="C65" i="29"/>
  <c r="B65" i="29"/>
  <c r="U64" i="29"/>
  <c r="T64" i="29"/>
  <c r="O64" i="29"/>
  <c r="N64" i="29"/>
  <c r="I64" i="29"/>
  <c r="H64" i="29"/>
  <c r="C64" i="29"/>
  <c r="B64" i="29"/>
  <c r="U63" i="29"/>
  <c r="T63" i="29"/>
  <c r="O63" i="29"/>
  <c r="N63" i="29"/>
  <c r="I63" i="29"/>
  <c r="H63" i="29"/>
  <c r="C63" i="29"/>
  <c r="B63" i="29"/>
  <c r="H50" i="29"/>
  <c r="I49" i="29"/>
  <c r="O45" i="29"/>
  <c r="C45" i="29"/>
  <c r="I42" i="29"/>
  <c r="O41" i="29"/>
  <c r="V38" i="29"/>
  <c r="V72" i="29" s="1"/>
  <c r="P38" i="29"/>
  <c r="P72" i="29" s="1"/>
  <c r="N72" i="29"/>
  <c r="J38" i="29"/>
  <c r="J72" i="29" s="1"/>
  <c r="D38" i="29"/>
  <c r="D72" i="29" s="1"/>
  <c r="C42" i="29"/>
  <c r="N42" i="29"/>
  <c r="I45" i="29"/>
  <c r="T36" i="29"/>
  <c r="U41" i="29" s="1"/>
  <c r="P36" i="29"/>
  <c r="P70" i="29" s="1"/>
  <c r="N36" i="29"/>
  <c r="H36" i="29"/>
  <c r="H46" i="29" s="1"/>
  <c r="B36" i="29"/>
  <c r="B50" i="29" s="1"/>
  <c r="T35" i="29"/>
  <c r="T69" i="29" s="1"/>
  <c r="N35" i="29"/>
  <c r="H35" i="29"/>
  <c r="H49" i="29" s="1"/>
  <c r="B35" i="29"/>
  <c r="B45" i="29" s="1"/>
  <c r="U23" i="29"/>
  <c r="T23" i="29"/>
  <c r="O23" i="29"/>
  <c r="N23" i="29"/>
  <c r="I23" i="29"/>
  <c r="H23" i="29"/>
  <c r="C23" i="29"/>
  <c r="B23" i="29"/>
  <c r="U22" i="29"/>
  <c r="T22" i="29"/>
  <c r="O22" i="29"/>
  <c r="N22" i="29"/>
  <c r="I22" i="29"/>
  <c r="H22" i="29"/>
  <c r="C22" i="29"/>
  <c r="B22" i="29"/>
  <c r="U19" i="29"/>
  <c r="T19" i="29"/>
  <c r="O19" i="29"/>
  <c r="N19" i="29"/>
  <c r="I19" i="29"/>
  <c r="H19" i="29"/>
  <c r="C19" i="29"/>
  <c r="B19" i="29"/>
  <c r="U18" i="29"/>
  <c r="T18" i="29"/>
  <c r="O18" i="29"/>
  <c r="N18" i="29"/>
  <c r="I18" i="29"/>
  <c r="H18" i="29"/>
  <c r="C18" i="29"/>
  <c r="B18" i="29"/>
  <c r="U15" i="29"/>
  <c r="T15" i="29"/>
  <c r="O15" i="29"/>
  <c r="N15" i="29"/>
  <c r="I15" i="29"/>
  <c r="H15" i="29"/>
  <c r="C15" i="29"/>
  <c r="B15" i="29"/>
  <c r="U14" i="29"/>
  <c r="T14" i="29"/>
  <c r="O14" i="29"/>
  <c r="N14" i="29"/>
  <c r="I14" i="29"/>
  <c r="H14" i="29"/>
  <c r="C14" i="29"/>
  <c r="B14" i="29"/>
  <c r="A14" i="29"/>
  <c r="A15" i="29" s="1"/>
  <c r="G14" i="29" s="1"/>
  <c r="G15" i="29" s="1"/>
  <c r="M14" i="29" s="1"/>
  <c r="M15" i="29" s="1"/>
  <c r="S14" i="29" s="1"/>
  <c r="S15" i="29" s="1"/>
  <c r="A18" i="29" s="1"/>
  <c r="A19" i="29" s="1"/>
  <c r="G18" i="29" s="1"/>
  <c r="G19" i="29" s="1"/>
  <c r="M18" i="29" s="1"/>
  <c r="M19" i="29" s="1"/>
  <c r="S18" i="29" s="1"/>
  <c r="S19" i="29" s="1"/>
  <c r="A22" i="29" s="1"/>
  <c r="A23" i="29" s="1"/>
  <c r="G22" i="29" s="1"/>
  <c r="G23" i="29" s="1"/>
  <c r="M22" i="29" s="1"/>
  <c r="M23" i="29" s="1"/>
  <c r="S22" i="29" s="1"/>
  <c r="S23" i="29" s="1"/>
  <c r="A41" i="29" s="1"/>
  <c r="A42" i="29" s="1"/>
  <c r="G41" i="29" s="1"/>
  <c r="G42" i="29" s="1"/>
  <c r="M41" i="29" s="1"/>
  <c r="M42" i="29" s="1"/>
  <c r="S41" i="29" s="1"/>
  <c r="S42" i="29" s="1"/>
  <c r="A45" i="29" s="1"/>
  <c r="A46" i="29" s="1"/>
  <c r="G45" i="29" s="1"/>
  <c r="G46" i="29" s="1"/>
  <c r="M45" i="29" s="1"/>
  <c r="M46" i="29" s="1"/>
  <c r="S45" i="29" s="1"/>
  <c r="S46" i="29" s="1"/>
  <c r="A49" i="29" s="1"/>
  <c r="A50" i="29" s="1"/>
  <c r="G49" i="29" s="1"/>
  <c r="G50" i="29" s="1"/>
  <c r="M49" i="29" s="1"/>
  <c r="M50" i="29" s="1"/>
  <c r="S49" i="29" s="1"/>
  <c r="S50" i="29" s="1"/>
  <c r="E5" i="29" s="1"/>
  <c r="J11" i="29"/>
  <c r="J66" i="29" s="1"/>
  <c r="G66" i="29" s="1"/>
  <c r="D11" i="29"/>
  <c r="D66" i="29" s="1"/>
  <c r="P10" i="29"/>
  <c r="P65" i="29" s="1"/>
  <c r="J10" i="29"/>
  <c r="J65" i="29" s="1"/>
  <c r="J9" i="29"/>
  <c r="J64" i="29" s="1"/>
  <c r="G64" i="29" s="1"/>
  <c r="J8" i="29"/>
  <c r="J63" i="29" s="1"/>
  <c r="D8" i="29"/>
  <c r="D63" i="29" s="1"/>
  <c r="L4" i="29"/>
  <c r="B38" i="32" l="1"/>
  <c r="D38" i="32"/>
  <c r="V14" i="32"/>
  <c r="T14" i="32"/>
  <c r="T15" i="32"/>
  <c r="T16" i="32"/>
  <c r="G63" i="29"/>
  <c r="T49" i="29"/>
  <c r="D9" i="29"/>
  <c r="D64" i="29" s="1"/>
  <c r="P11" i="29"/>
  <c r="P66" i="29" s="1"/>
  <c r="V17" i="32"/>
  <c r="N59" i="35"/>
  <c r="T30" i="33"/>
  <c r="T41" i="29"/>
  <c r="T45" i="29"/>
  <c r="V8" i="29"/>
  <c r="V63" i="29" s="1"/>
  <c r="S63" i="29" s="1"/>
  <c r="V10" i="29"/>
  <c r="V65" i="29" s="1"/>
  <c r="S65" i="29" s="1"/>
  <c r="V9" i="29"/>
  <c r="V64" i="29" s="1"/>
  <c r="J36" i="29"/>
  <c r="J70" i="29" s="1"/>
  <c r="G70" i="29" s="1"/>
  <c r="V36" i="29"/>
  <c r="V70" i="29" s="1"/>
  <c r="V10" i="32"/>
  <c r="H31" i="34"/>
  <c r="D30" i="34"/>
  <c r="D58" i="34"/>
  <c r="V58" i="34"/>
  <c r="V58" i="35"/>
  <c r="B58" i="35"/>
  <c r="A34" i="31"/>
  <c r="B41" i="29"/>
  <c r="B49" i="29"/>
  <c r="B69" i="29"/>
  <c r="H70" i="29"/>
  <c r="V40" i="32"/>
  <c r="P40" i="32"/>
  <c r="H58" i="34"/>
  <c r="D31" i="34"/>
  <c r="J30" i="34"/>
  <c r="V29" i="35"/>
  <c r="J59" i="35"/>
  <c r="J57" i="35"/>
  <c r="G65" i="29"/>
  <c r="I41" i="29"/>
  <c r="P8" i="29"/>
  <c r="P63" i="29" s="1"/>
  <c r="D10" i="29"/>
  <c r="D65" i="29" s="1"/>
  <c r="A65" i="29" s="1"/>
  <c r="P9" i="29"/>
  <c r="P64" i="29" s="1"/>
  <c r="M69" i="29"/>
  <c r="D37" i="29"/>
  <c r="D71" i="29" s="1"/>
  <c r="P37" i="29"/>
  <c r="P71" i="29" s="1"/>
  <c r="D36" i="29"/>
  <c r="D70" i="29" s="1"/>
  <c r="T30" i="31"/>
  <c r="B40" i="32"/>
  <c r="T9" i="32"/>
  <c r="B29" i="34"/>
  <c r="J31" i="34"/>
  <c r="N58" i="34"/>
  <c r="B58" i="34"/>
  <c r="T58" i="34"/>
  <c r="T69" i="39"/>
  <c r="M90" i="48"/>
  <c r="G89" i="48"/>
  <c r="S71" i="43"/>
  <c r="A74" i="43"/>
  <c r="G90" i="43"/>
  <c r="S89" i="43"/>
  <c r="AF19" i="49"/>
  <c r="B22" i="49" s="1"/>
  <c r="AF18" i="49"/>
  <c r="A74" i="48"/>
  <c r="S71" i="48"/>
  <c r="G90" i="48"/>
  <c r="S89" i="48"/>
  <c r="S25" i="42"/>
  <c r="S72" i="42"/>
  <c r="A75" i="42"/>
  <c r="G75" i="42" s="1"/>
  <c r="S90" i="42"/>
  <c r="G91" i="42"/>
  <c r="M80" i="41"/>
  <c r="G79" i="41"/>
  <c r="M99" i="41"/>
  <c r="A100" i="41"/>
  <c r="T28" i="33"/>
  <c r="A63" i="33"/>
  <c r="V29" i="33"/>
  <c r="I70" i="45"/>
  <c r="J69" i="45"/>
  <c r="I66" i="45"/>
  <c r="J65" i="45"/>
  <c r="I65" i="45"/>
  <c r="J66" i="45"/>
  <c r="Q55" i="45"/>
  <c r="I56" i="45"/>
  <c r="I54" i="45"/>
  <c r="K55" i="45"/>
  <c r="K57" i="45"/>
  <c r="H66" i="45"/>
  <c r="B69" i="45" s="1"/>
  <c r="N69" i="45" s="1"/>
  <c r="K54" i="45"/>
  <c r="K56" i="45"/>
  <c r="O55" i="45"/>
  <c r="I57" i="45"/>
  <c r="O56" i="45"/>
  <c r="O57" i="45"/>
  <c r="Q56" i="45"/>
  <c r="Q57" i="45"/>
  <c r="V30" i="33"/>
  <c r="K55" i="39"/>
  <c r="T70" i="39"/>
  <c r="AI56" i="39" s="1"/>
  <c r="T71" i="39"/>
  <c r="W56" i="39" s="1"/>
  <c r="Z70" i="39"/>
  <c r="T72" i="39"/>
  <c r="N72" i="39"/>
  <c r="N71" i="39"/>
  <c r="N70" i="39"/>
  <c r="N66" i="39"/>
  <c r="N63" i="39"/>
  <c r="Q27" i="39" s="1"/>
  <c r="N65" i="39"/>
  <c r="H66" i="39"/>
  <c r="H65" i="39"/>
  <c r="H64" i="39"/>
  <c r="H63" i="39"/>
  <c r="B63" i="39"/>
  <c r="AF63" i="39"/>
  <c r="Z72" i="39"/>
  <c r="T64" i="39"/>
  <c r="T66" i="39"/>
  <c r="B66" i="39"/>
  <c r="T65" i="39"/>
  <c r="Z64" i="39"/>
  <c r="B65" i="39"/>
  <c r="B64" i="39"/>
  <c r="Z66" i="39"/>
  <c r="T63" i="39"/>
  <c r="W27" i="39" s="1"/>
  <c r="Z63" i="39"/>
  <c r="Z65" i="39"/>
  <c r="Z69" i="39"/>
  <c r="B70" i="39"/>
  <c r="N64" i="39"/>
  <c r="B69" i="39"/>
  <c r="E54" i="39" s="1"/>
  <c r="Z71" i="39"/>
  <c r="AF65" i="39"/>
  <c r="K56" i="39"/>
  <c r="B71" i="39"/>
  <c r="AF64" i="39"/>
  <c r="AF66" i="39"/>
  <c r="AI54" i="39"/>
  <c r="AI57" i="39"/>
  <c r="W54" i="39"/>
  <c r="K57" i="39"/>
  <c r="AC54" i="39"/>
  <c r="W55" i="39"/>
  <c r="N15" i="39"/>
  <c r="T15" i="39" s="1"/>
  <c r="Z14" i="39" s="1"/>
  <c r="T14" i="39"/>
  <c r="W28" i="39"/>
  <c r="B18" i="37"/>
  <c r="W14" i="37"/>
  <c r="S15" i="37"/>
  <c r="W15" i="37"/>
  <c r="M19" i="36"/>
  <c r="S19" i="36"/>
  <c r="A20" i="36"/>
  <c r="G19" i="36"/>
  <c r="T59" i="35"/>
  <c r="H59" i="35"/>
  <c r="J58" i="35"/>
  <c r="N30" i="35"/>
  <c r="N28" i="35"/>
  <c r="P30" i="35"/>
  <c r="P31" i="35"/>
  <c r="P29" i="35"/>
  <c r="P28" i="35"/>
  <c r="N31" i="35"/>
  <c r="N29" i="35"/>
  <c r="N58" i="35"/>
  <c r="D31" i="35"/>
  <c r="D29" i="35"/>
  <c r="B28" i="35"/>
  <c r="B31" i="35"/>
  <c r="B29" i="35"/>
  <c r="B30" i="35"/>
  <c r="D30" i="35"/>
  <c r="D28" i="35"/>
  <c r="J31" i="35"/>
  <c r="J30" i="35"/>
  <c r="J29" i="35"/>
  <c r="J28" i="35"/>
  <c r="H29" i="35"/>
  <c r="H30" i="35"/>
  <c r="H28" i="35"/>
  <c r="H31" i="35"/>
  <c r="D58" i="35"/>
  <c r="B59" i="35"/>
  <c r="T31" i="35"/>
  <c r="T29" i="35"/>
  <c r="T30" i="35"/>
  <c r="V31" i="35"/>
  <c r="H57" i="35"/>
  <c r="B31" i="34"/>
  <c r="J58" i="34"/>
  <c r="J59" i="34"/>
  <c r="J57" i="34"/>
  <c r="H59" i="34"/>
  <c r="D29" i="34"/>
  <c r="H29" i="34"/>
  <c r="P57" i="34"/>
  <c r="N59" i="34"/>
  <c r="D59" i="34"/>
  <c r="B59" i="34"/>
  <c r="T30" i="34"/>
  <c r="T28" i="34"/>
  <c r="T29" i="34"/>
  <c r="V30" i="34"/>
  <c r="V31" i="34"/>
  <c r="V29" i="34"/>
  <c r="T31" i="34"/>
  <c r="V28" i="34"/>
  <c r="V59" i="34"/>
  <c r="T59" i="34"/>
  <c r="H30" i="34"/>
  <c r="H57" i="34"/>
  <c r="P58" i="34"/>
  <c r="D57" i="34"/>
  <c r="V57" i="34"/>
  <c r="N31" i="34"/>
  <c r="N30" i="34"/>
  <c r="N29" i="34"/>
  <c r="N28" i="34"/>
  <c r="P29" i="34"/>
  <c r="P30" i="34"/>
  <c r="P28" i="34"/>
  <c r="P31" i="34"/>
  <c r="T31" i="33"/>
  <c r="V31" i="33"/>
  <c r="J31" i="33"/>
  <c r="J30" i="33"/>
  <c r="J29" i="33"/>
  <c r="J28" i="33"/>
  <c r="H31" i="33"/>
  <c r="H30" i="33"/>
  <c r="H29" i="33"/>
  <c r="H28" i="33"/>
  <c r="N29" i="33"/>
  <c r="N31" i="33"/>
  <c r="N28" i="33"/>
  <c r="P31" i="33"/>
  <c r="P30" i="33"/>
  <c r="P29" i="33"/>
  <c r="P28" i="33"/>
  <c r="N30" i="33"/>
  <c r="B31" i="33"/>
  <c r="C38" i="33" s="1"/>
  <c r="B28" i="33"/>
  <c r="N37" i="33" s="1"/>
  <c r="B30" i="33"/>
  <c r="B37" i="33" s="1"/>
  <c r="D31" i="33"/>
  <c r="D30" i="33"/>
  <c r="D29" i="33"/>
  <c r="D28" i="33"/>
  <c r="B29" i="33"/>
  <c r="O38" i="33" s="1"/>
  <c r="M37" i="33"/>
  <c r="M38" i="33" s="1"/>
  <c r="S37" i="33" s="1"/>
  <c r="S38" i="33" s="1"/>
  <c r="M41" i="33" s="1"/>
  <c r="M42" i="33" s="1"/>
  <c r="S41" i="33" s="1"/>
  <c r="S42" i="33" s="1"/>
  <c r="M45" i="33" s="1"/>
  <c r="S45" i="33" s="1"/>
  <c r="M48" i="33" s="1"/>
  <c r="S48" i="33" s="1"/>
  <c r="E5" i="33" s="1"/>
  <c r="A37" i="33"/>
  <c r="A38" i="33" s="1"/>
  <c r="G37" i="33" s="1"/>
  <c r="G38" i="33" s="1"/>
  <c r="A41" i="33" s="1"/>
  <c r="A42" i="33" s="1"/>
  <c r="G41" i="33" s="1"/>
  <c r="G42" i="33" s="1"/>
  <c r="A45" i="33" s="1"/>
  <c r="G45" i="33" s="1"/>
  <c r="A48" i="33" s="1"/>
  <c r="G48" i="33" s="1"/>
  <c r="T29" i="33"/>
  <c r="N39" i="32"/>
  <c r="H40" i="32"/>
  <c r="H39" i="32"/>
  <c r="H38" i="32"/>
  <c r="J40" i="32"/>
  <c r="J39" i="32"/>
  <c r="J38" i="32"/>
  <c r="D39" i="32"/>
  <c r="V11" i="32"/>
  <c r="T39" i="32"/>
  <c r="V16" i="32"/>
  <c r="T17" i="32"/>
  <c r="P39" i="32"/>
  <c r="N40" i="32"/>
  <c r="V15" i="32"/>
  <c r="B39" i="32"/>
  <c r="D40" i="32"/>
  <c r="V39" i="32"/>
  <c r="T40" i="32"/>
  <c r="T23" i="32"/>
  <c r="T20" i="32"/>
  <c r="V21" i="32"/>
  <c r="V22" i="32"/>
  <c r="T21" i="32"/>
  <c r="V23" i="32"/>
  <c r="V20" i="32"/>
  <c r="T22" i="32"/>
  <c r="V9" i="32"/>
  <c r="T10" i="32"/>
  <c r="T11" i="32"/>
  <c r="B30" i="31"/>
  <c r="P29" i="31"/>
  <c r="P28" i="31"/>
  <c r="P27" i="31"/>
  <c r="P30" i="31"/>
  <c r="N29" i="31"/>
  <c r="N27" i="31"/>
  <c r="N30" i="31"/>
  <c r="N28" i="31"/>
  <c r="B29" i="31"/>
  <c r="H30" i="31"/>
  <c r="J30" i="30"/>
  <c r="J28" i="30"/>
  <c r="J29" i="30"/>
  <c r="H30" i="30"/>
  <c r="H28" i="30"/>
  <c r="H31" i="30"/>
  <c r="H29" i="30"/>
  <c r="J31" i="30"/>
  <c r="D31" i="30"/>
  <c r="D29" i="30"/>
  <c r="D28" i="30"/>
  <c r="B30" i="30"/>
  <c r="B31" i="30"/>
  <c r="B29" i="30"/>
  <c r="D30" i="30"/>
  <c r="B28" i="30"/>
  <c r="T71" i="29"/>
  <c r="M64" i="29"/>
  <c r="A72" i="29"/>
  <c r="A69" i="29"/>
  <c r="P54" i="29"/>
  <c r="A71" i="29"/>
  <c r="M71" i="29"/>
  <c r="A70" i="29"/>
  <c r="A64" i="29"/>
  <c r="M66" i="29"/>
  <c r="A66" i="29"/>
  <c r="M65" i="29"/>
  <c r="M72" i="29"/>
  <c r="J30" i="29"/>
  <c r="J29" i="29"/>
  <c r="J28" i="29"/>
  <c r="J27" i="29"/>
  <c r="H30" i="29"/>
  <c r="H28" i="29"/>
  <c r="H29" i="29"/>
  <c r="H27" i="29"/>
  <c r="M70" i="29"/>
  <c r="N55" i="29" s="1"/>
  <c r="H42" i="29"/>
  <c r="B46" i="29"/>
  <c r="A63" i="29"/>
  <c r="H69" i="29"/>
  <c r="H71" i="29"/>
  <c r="N49" i="29"/>
  <c r="N45" i="29"/>
  <c r="N41" i="29"/>
  <c r="H45" i="29"/>
  <c r="C46" i="29"/>
  <c r="O46" i="29"/>
  <c r="I50" i="29"/>
  <c r="T50" i="29"/>
  <c r="V27" i="29"/>
  <c r="B70" i="29"/>
  <c r="B72" i="29"/>
  <c r="U49" i="29"/>
  <c r="U46" i="29"/>
  <c r="U42" i="29"/>
  <c r="C41" i="29"/>
  <c r="B42" i="29"/>
  <c r="C49" i="29"/>
  <c r="O49" i="29"/>
  <c r="T70" i="29"/>
  <c r="T72" i="29"/>
  <c r="T27" i="29"/>
  <c r="N50" i="29"/>
  <c r="N46" i="29"/>
  <c r="U50" i="29"/>
  <c r="U45" i="29"/>
  <c r="H41" i="29"/>
  <c r="O42" i="29"/>
  <c r="T46" i="29"/>
  <c r="O50" i="29"/>
  <c r="N69" i="29"/>
  <c r="N54" i="29" s="1"/>
  <c r="N70" i="29"/>
  <c r="N71" i="29"/>
  <c r="G71" i="29" l="1"/>
  <c r="AI55" i="39"/>
  <c r="G72" i="29"/>
  <c r="G69" i="29"/>
  <c r="S66" i="29"/>
  <c r="H56" i="29"/>
  <c r="W57" i="39"/>
  <c r="AC56" i="39"/>
  <c r="M63" i="29"/>
  <c r="P30" i="29" s="1"/>
  <c r="D27" i="31"/>
  <c r="B28" i="31"/>
  <c r="D30" i="31"/>
  <c r="B27" i="31"/>
  <c r="D28" i="31"/>
  <c r="S71" i="29"/>
  <c r="S69" i="29"/>
  <c r="S70" i="29"/>
  <c r="S64" i="29"/>
  <c r="T28" i="29" s="1"/>
  <c r="D29" i="31"/>
  <c r="S72" i="29"/>
  <c r="S90" i="43"/>
  <c r="A93" i="43"/>
  <c r="A75" i="43"/>
  <c r="M75" i="43" s="1"/>
  <c r="M74" i="43"/>
  <c r="G74" i="43"/>
  <c r="B23" i="49"/>
  <c r="H23" i="49"/>
  <c r="N22" i="49" s="1"/>
  <c r="H22" i="49"/>
  <c r="A93" i="48"/>
  <c r="S90" i="48"/>
  <c r="A75" i="48"/>
  <c r="M74" i="48"/>
  <c r="M75" i="42"/>
  <c r="A76" i="42"/>
  <c r="S91" i="42"/>
  <c r="A94" i="42"/>
  <c r="G94" i="42" s="1"/>
  <c r="G99" i="41"/>
  <c r="M100" i="41"/>
  <c r="S79" i="41"/>
  <c r="G80" i="41"/>
  <c r="S80" i="41" s="1"/>
  <c r="T69" i="45"/>
  <c r="T70" i="45" s="1"/>
  <c r="N70" i="45"/>
  <c r="I69" i="45"/>
  <c r="J70" i="45"/>
  <c r="B70" i="45"/>
  <c r="H69" i="45"/>
  <c r="U27" i="39"/>
  <c r="U38" i="39" s="1"/>
  <c r="K30" i="39"/>
  <c r="E30" i="39"/>
  <c r="U28" i="39"/>
  <c r="AG35" i="39" s="1"/>
  <c r="AG45" i="39" s="1"/>
  <c r="O30" i="39"/>
  <c r="I37" i="39" s="1"/>
  <c r="O28" i="39"/>
  <c r="AA37" i="39" s="1"/>
  <c r="AB45" i="39" s="1"/>
  <c r="O27" i="39"/>
  <c r="U37" i="39" s="1"/>
  <c r="U71" i="39" s="1"/>
  <c r="Q29" i="39"/>
  <c r="K28" i="39"/>
  <c r="Q57" i="39"/>
  <c r="AC57" i="39"/>
  <c r="Q55" i="39"/>
  <c r="AC55" i="39"/>
  <c r="Q56" i="39"/>
  <c r="E55" i="39"/>
  <c r="V49" i="39"/>
  <c r="V46" i="39"/>
  <c r="U72" i="39"/>
  <c r="V42" i="39"/>
  <c r="AG69" i="39"/>
  <c r="Q30" i="39"/>
  <c r="O29" i="39"/>
  <c r="C37" i="39" s="1"/>
  <c r="C42" i="39" s="1"/>
  <c r="I71" i="39"/>
  <c r="I56" i="39" s="1"/>
  <c r="I42" i="39"/>
  <c r="J50" i="39"/>
  <c r="J45" i="39"/>
  <c r="V50" i="39"/>
  <c r="U42" i="39"/>
  <c r="AA42" i="39"/>
  <c r="I29" i="39"/>
  <c r="O37" i="39" s="1"/>
  <c r="P50" i="39" s="1"/>
  <c r="I30" i="39"/>
  <c r="C36" i="39" s="1"/>
  <c r="C50" i="39" s="1"/>
  <c r="K29" i="39"/>
  <c r="I27" i="39"/>
  <c r="AG37" i="39" s="1"/>
  <c r="AG42" i="39" s="1"/>
  <c r="K27" i="39"/>
  <c r="I28" i="39"/>
  <c r="U36" i="39" s="1"/>
  <c r="U50" i="39" s="1"/>
  <c r="C28" i="39"/>
  <c r="U35" i="39" s="1"/>
  <c r="AC30" i="39"/>
  <c r="AC27" i="39"/>
  <c r="AC29" i="39"/>
  <c r="AC28" i="39"/>
  <c r="AG30" i="39"/>
  <c r="O36" i="39" s="1"/>
  <c r="AG27" i="39"/>
  <c r="AI27" i="39"/>
  <c r="AI28" i="39"/>
  <c r="AI29" i="39"/>
  <c r="AI30" i="39"/>
  <c r="AA30" i="39"/>
  <c r="I38" i="39" s="1"/>
  <c r="AA29" i="39"/>
  <c r="O38" i="39" s="1"/>
  <c r="AA28" i="39"/>
  <c r="AA38" i="39" s="1"/>
  <c r="AA27" i="39"/>
  <c r="U29" i="39"/>
  <c r="C38" i="39" s="1"/>
  <c r="W29" i="39"/>
  <c r="U30" i="39"/>
  <c r="O35" i="39" s="1"/>
  <c r="O41" i="39" s="1"/>
  <c r="W30" i="39"/>
  <c r="AG28" i="39"/>
  <c r="AG36" i="39" s="1"/>
  <c r="AG29" i="39"/>
  <c r="I36" i="39" s="1"/>
  <c r="C30" i="39"/>
  <c r="C35" i="39" s="1"/>
  <c r="C45" i="39" s="1"/>
  <c r="E29" i="39"/>
  <c r="C29" i="39"/>
  <c r="I35" i="39" s="1"/>
  <c r="I45" i="39" s="1"/>
  <c r="E28" i="39"/>
  <c r="E27" i="39"/>
  <c r="C27" i="39"/>
  <c r="AA35" i="39" s="1"/>
  <c r="E57" i="39"/>
  <c r="Q28" i="39"/>
  <c r="E56" i="39"/>
  <c r="Z15" i="39"/>
  <c r="AF14" i="39"/>
  <c r="AF15" i="39" s="1"/>
  <c r="B18" i="39" s="1"/>
  <c r="F18" i="37"/>
  <c r="F19" i="37" s="1"/>
  <c r="J18" i="37" s="1"/>
  <c r="B19" i="37"/>
  <c r="M20" i="36"/>
  <c r="S20" i="36"/>
  <c r="A23" i="36" s="1"/>
  <c r="G20" i="36"/>
  <c r="P57" i="29"/>
  <c r="D29" i="29"/>
  <c r="D27" i="29"/>
  <c r="B29" i="29"/>
  <c r="B27" i="29"/>
  <c r="D30" i="29"/>
  <c r="D28" i="29"/>
  <c r="B30" i="29"/>
  <c r="B28" i="29"/>
  <c r="P55" i="29"/>
  <c r="P56" i="29"/>
  <c r="D56" i="29"/>
  <c r="D54" i="29"/>
  <c r="B56" i="29"/>
  <c r="B54" i="29"/>
  <c r="D57" i="29"/>
  <c r="D55" i="29"/>
  <c r="B57" i="29"/>
  <c r="B55" i="29"/>
  <c r="N57" i="29"/>
  <c r="N56" i="29"/>
  <c r="N29" i="29"/>
  <c r="V54" i="29" l="1"/>
  <c r="V56" i="29"/>
  <c r="T54" i="29"/>
  <c r="V57" i="29"/>
  <c r="V55" i="29"/>
  <c r="J54" i="29"/>
  <c r="J57" i="29"/>
  <c r="H57" i="29"/>
  <c r="J56" i="29"/>
  <c r="H55" i="29"/>
  <c r="J55" i="29"/>
  <c r="T55" i="29"/>
  <c r="C49" i="39"/>
  <c r="P45" i="39"/>
  <c r="V30" i="29"/>
  <c r="T29" i="29"/>
  <c r="V28" i="29"/>
  <c r="V29" i="29"/>
  <c r="T57" i="29"/>
  <c r="T56" i="29"/>
  <c r="N28" i="29"/>
  <c r="P28" i="29"/>
  <c r="P29" i="29"/>
  <c r="P27" i="29"/>
  <c r="N27" i="29"/>
  <c r="N30" i="29"/>
  <c r="T30" i="29"/>
  <c r="H54" i="29"/>
  <c r="G93" i="43"/>
  <c r="M93" i="43"/>
  <c r="A94" i="43"/>
  <c r="M94" i="43" s="1"/>
  <c r="S74" i="43"/>
  <c r="G75" i="43"/>
  <c r="T22" i="49"/>
  <c r="N23" i="49"/>
  <c r="T23" i="49"/>
  <c r="Z22" i="49" s="1"/>
  <c r="M75" i="48"/>
  <c r="G74" i="48"/>
  <c r="G75" i="48"/>
  <c r="S74" i="48"/>
  <c r="A94" i="48"/>
  <c r="M93" i="48"/>
  <c r="A95" i="42"/>
  <c r="M94" i="42"/>
  <c r="M76" i="42"/>
  <c r="S99" i="41"/>
  <c r="G100" i="41"/>
  <c r="B73" i="45"/>
  <c r="N73" i="45" s="1"/>
  <c r="T73" i="45" s="1"/>
  <c r="N74" i="45" s="1"/>
  <c r="T74" i="45" s="1"/>
  <c r="H70" i="45"/>
  <c r="V45" i="39"/>
  <c r="AA71" i="39"/>
  <c r="AG41" i="39"/>
  <c r="AG49" i="39"/>
  <c r="AB50" i="39"/>
  <c r="O42" i="39"/>
  <c r="C69" i="39"/>
  <c r="C54" i="39" s="1"/>
  <c r="C70" i="39"/>
  <c r="C55" i="39" s="1"/>
  <c r="O71" i="39"/>
  <c r="O56" i="39" s="1"/>
  <c r="D41" i="39"/>
  <c r="D45" i="39"/>
  <c r="V41" i="39"/>
  <c r="C71" i="39"/>
  <c r="C56" i="39" s="1"/>
  <c r="I70" i="39"/>
  <c r="I55" i="39" s="1"/>
  <c r="I50" i="39"/>
  <c r="J41" i="39"/>
  <c r="I46" i="39"/>
  <c r="P41" i="39"/>
  <c r="O46" i="39"/>
  <c r="O50" i="39"/>
  <c r="O70" i="39"/>
  <c r="AG50" i="39"/>
  <c r="AH41" i="39"/>
  <c r="AG70" i="39"/>
  <c r="AG46" i="39"/>
  <c r="AG38" i="39"/>
  <c r="AA36" i="39"/>
  <c r="AB42" i="39"/>
  <c r="AB46" i="39"/>
  <c r="AA72" i="39"/>
  <c r="AB49" i="39"/>
  <c r="O72" i="39"/>
  <c r="P49" i="39"/>
  <c r="P42" i="39"/>
  <c r="P46" i="39"/>
  <c r="I72" i="39"/>
  <c r="I57" i="39" s="1"/>
  <c r="J42" i="39"/>
  <c r="J49" i="39"/>
  <c r="J46" i="39"/>
  <c r="O45" i="39"/>
  <c r="U57" i="39"/>
  <c r="AG57" i="39"/>
  <c r="O49" i="39"/>
  <c r="O69" i="39"/>
  <c r="AA54" i="39" s="1"/>
  <c r="C72" i="39"/>
  <c r="C57" i="39" s="1"/>
  <c r="D49" i="39"/>
  <c r="D46" i="39"/>
  <c r="D42" i="39"/>
  <c r="D50" i="39"/>
  <c r="AG56" i="39"/>
  <c r="U56" i="39"/>
  <c r="AH50" i="39"/>
  <c r="C46" i="39"/>
  <c r="AG71" i="39"/>
  <c r="AH45" i="39"/>
  <c r="U46" i="39"/>
  <c r="U70" i="39"/>
  <c r="U55" i="39" s="1"/>
  <c r="C41" i="39"/>
  <c r="AA69" i="39"/>
  <c r="AA45" i="39"/>
  <c r="AA41" i="39"/>
  <c r="AA49" i="39"/>
  <c r="I41" i="39"/>
  <c r="I69" i="39"/>
  <c r="I54" i="39" s="1"/>
  <c r="I49" i="39"/>
  <c r="U49" i="39"/>
  <c r="U69" i="39"/>
  <c r="U45" i="39"/>
  <c r="U41" i="39"/>
  <c r="B19" i="39"/>
  <c r="H18" i="39"/>
  <c r="H19" i="39"/>
  <c r="N18" i="39" s="1"/>
  <c r="J19" i="37"/>
  <c r="O18" i="37"/>
  <c r="O19" i="37" s="1"/>
  <c r="S18" i="37" s="1"/>
  <c r="M23" i="36"/>
  <c r="S23" i="36"/>
  <c r="A24" i="36"/>
  <c r="G23" i="36"/>
  <c r="H51" i="10"/>
  <c r="H50" i="10"/>
  <c r="M94" i="48" l="1"/>
  <c r="G93" i="48"/>
  <c r="S75" i="43"/>
  <c r="A78" i="43"/>
  <c r="G94" i="43"/>
  <c r="S93" i="43"/>
  <c r="Z23" i="49"/>
  <c r="AF23" i="49"/>
  <c r="B44" i="49" s="1"/>
  <c r="AF22" i="49"/>
  <c r="G94" i="48"/>
  <c r="S93" i="48"/>
  <c r="A78" i="48"/>
  <c r="S75" i="48"/>
  <c r="G76" i="42"/>
  <c r="S75" i="42"/>
  <c r="M95" i="42"/>
  <c r="A103" i="41"/>
  <c r="S100" i="41"/>
  <c r="H73" i="45"/>
  <c r="B74" i="45" s="1"/>
  <c r="O54" i="39"/>
  <c r="AA56" i="39"/>
  <c r="AA55" i="39"/>
  <c r="O55" i="39"/>
  <c r="AA57" i="39"/>
  <c r="O57" i="39"/>
  <c r="AA50" i="39"/>
  <c r="AA70" i="39"/>
  <c r="AB41" i="39"/>
  <c r="AA46" i="39"/>
  <c r="AH46" i="39"/>
  <c r="AH49" i="39"/>
  <c r="AG72" i="39"/>
  <c r="AH42" i="39"/>
  <c r="AG55" i="39"/>
  <c r="U54" i="39"/>
  <c r="AG54" i="39"/>
  <c r="N19" i="39"/>
  <c r="T18" i="39"/>
  <c r="T19" i="39" s="1"/>
  <c r="Z18" i="39" s="1"/>
  <c r="Z19" i="39" s="1"/>
  <c r="W18" i="37"/>
  <c r="W19" i="37" s="1"/>
  <c r="B22" i="37" s="1"/>
  <c r="S19" i="37"/>
  <c r="M24" i="36"/>
  <c r="S24" i="36"/>
  <c r="A36" i="36" s="1"/>
  <c r="G24" i="36"/>
  <c r="G78" i="43" l="1"/>
  <c r="A79" i="43"/>
  <c r="M79" i="43" s="1"/>
  <c r="M78" i="43"/>
  <c r="S94" i="43"/>
  <c r="A97" i="43"/>
  <c r="B45" i="49"/>
  <c r="T44" i="49"/>
  <c r="N44" i="49"/>
  <c r="H44" i="49"/>
  <c r="A79" i="48"/>
  <c r="M78" i="48"/>
  <c r="A97" i="48"/>
  <c r="S94" i="48"/>
  <c r="S94" i="42"/>
  <c r="G95" i="42"/>
  <c r="S76" i="42"/>
  <c r="A79" i="42"/>
  <c r="G79" i="42" s="1"/>
  <c r="M103" i="41"/>
  <c r="A104" i="41"/>
  <c r="H74" i="45"/>
  <c r="B77" i="45"/>
  <c r="N77" i="45" s="1"/>
  <c r="AF18" i="39"/>
  <c r="AF19" i="39"/>
  <c r="B22" i="39" s="1"/>
  <c r="F22" i="37"/>
  <c r="F23" i="37" s="1"/>
  <c r="J22" i="37" s="1"/>
  <c r="B23" i="37"/>
  <c r="M36" i="36"/>
  <c r="S36" i="36" s="1"/>
  <c r="A37" i="36"/>
  <c r="G36" i="36"/>
  <c r="T12" i="26"/>
  <c r="I33" i="28"/>
  <c r="H33" i="28"/>
  <c r="C33" i="28"/>
  <c r="B33" i="28"/>
  <c r="I32" i="28"/>
  <c r="H32" i="28"/>
  <c r="C32" i="28"/>
  <c r="B32" i="28"/>
  <c r="I29" i="28"/>
  <c r="H29" i="28"/>
  <c r="C29" i="28"/>
  <c r="B29" i="28"/>
  <c r="I28" i="28"/>
  <c r="H28" i="28"/>
  <c r="C28" i="28"/>
  <c r="B28" i="28"/>
  <c r="I25" i="28"/>
  <c r="H25" i="28"/>
  <c r="C25" i="28"/>
  <c r="B25" i="28"/>
  <c r="I24" i="28"/>
  <c r="H24" i="28"/>
  <c r="C24" i="28"/>
  <c r="B24" i="28"/>
  <c r="I21" i="28"/>
  <c r="H21" i="28"/>
  <c r="C21" i="28"/>
  <c r="B21" i="28"/>
  <c r="I20" i="28"/>
  <c r="H20" i="28"/>
  <c r="C20" i="28"/>
  <c r="B20" i="28"/>
  <c r="I17" i="28"/>
  <c r="H17" i="28"/>
  <c r="C17" i="28"/>
  <c r="B17" i="28"/>
  <c r="I16" i="28"/>
  <c r="H16" i="28"/>
  <c r="C16" i="28"/>
  <c r="B16" i="28"/>
  <c r="A16" i="28"/>
  <c r="A17" i="28" s="1"/>
  <c r="A20" i="28" s="1"/>
  <c r="G20" i="28" s="1"/>
  <c r="T13" i="28"/>
  <c r="U33" i="28" s="1"/>
  <c r="N13" i="28"/>
  <c r="O33" i="28" s="1"/>
  <c r="T12" i="28"/>
  <c r="U32" i="28" s="1"/>
  <c r="N12" i="28"/>
  <c r="N29" i="28" s="1"/>
  <c r="T11" i="28"/>
  <c r="U28" i="28" s="1"/>
  <c r="N11" i="28"/>
  <c r="N33" i="28" s="1"/>
  <c r="T10" i="28"/>
  <c r="U16" i="28" s="1"/>
  <c r="N10" i="28"/>
  <c r="N32" i="28" s="1"/>
  <c r="T9" i="28"/>
  <c r="T24" i="28" s="1"/>
  <c r="N9" i="28"/>
  <c r="N28" i="28" s="1"/>
  <c r="L4" i="28"/>
  <c r="T12" i="27"/>
  <c r="T11" i="27"/>
  <c r="T10" i="27"/>
  <c r="T9" i="27"/>
  <c r="T8" i="27"/>
  <c r="N12" i="27"/>
  <c r="O24" i="27" s="1"/>
  <c r="N11" i="27"/>
  <c r="O31" i="27" s="1"/>
  <c r="N9" i="27"/>
  <c r="N10" i="27"/>
  <c r="O20" i="27" s="1"/>
  <c r="N8" i="27"/>
  <c r="I32" i="27"/>
  <c r="H32" i="27"/>
  <c r="C32" i="27"/>
  <c r="B32" i="27"/>
  <c r="I31" i="27"/>
  <c r="H31" i="27"/>
  <c r="C31" i="27"/>
  <c r="B31" i="27"/>
  <c r="O28" i="27"/>
  <c r="I28" i="27"/>
  <c r="H28" i="27"/>
  <c r="C28" i="27"/>
  <c r="B28" i="27"/>
  <c r="I27" i="27"/>
  <c r="H27" i="27"/>
  <c r="C27" i="27"/>
  <c r="B27" i="27"/>
  <c r="I24" i="27"/>
  <c r="H24" i="27"/>
  <c r="C24" i="27"/>
  <c r="B24" i="27"/>
  <c r="I23" i="27"/>
  <c r="H23" i="27"/>
  <c r="C23" i="27"/>
  <c r="B23" i="27"/>
  <c r="I20" i="27"/>
  <c r="H20" i="27"/>
  <c r="C20" i="27"/>
  <c r="B20" i="27"/>
  <c r="I19" i="27"/>
  <c r="H19" i="27"/>
  <c r="C19" i="27"/>
  <c r="B19" i="27"/>
  <c r="I16" i="27"/>
  <c r="H16" i="27"/>
  <c r="C16" i="27"/>
  <c r="B16" i="27"/>
  <c r="I15" i="27"/>
  <c r="H15" i="27"/>
  <c r="C15" i="27"/>
  <c r="B15" i="27"/>
  <c r="A15" i="27"/>
  <c r="A16" i="27" s="1"/>
  <c r="G15" i="27" s="1"/>
  <c r="G16" i="27" s="1"/>
  <c r="A19" i="27" s="1"/>
  <c r="A20" i="27" s="1"/>
  <c r="G19" i="27" s="1"/>
  <c r="G20" i="27" s="1"/>
  <c r="A23" i="27" s="1"/>
  <c r="A24" i="27" s="1"/>
  <c r="G23" i="27" s="1"/>
  <c r="G24" i="27" s="1"/>
  <c r="A27" i="27" s="1"/>
  <c r="A28" i="27" s="1"/>
  <c r="G27" i="27" s="1"/>
  <c r="G28" i="27" s="1"/>
  <c r="A31" i="27" s="1"/>
  <c r="A32" i="27" s="1"/>
  <c r="G31" i="27" s="1"/>
  <c r="G32" i="27" s="1"/>
  <c r="M15" i="27" s="1"/>
  <c r="M16" i="27" s="1"/>
  <c r="S15" i="27" s="1"/>
  <c r="S16" i="27" s="1"/>
  <c r="M19" i="27" s="1"/>
  <c r="M20" i="27" s="1"/>
  <c r="S19" i="27" s="1"/>
  <c r="S20" i="27" s="1"/>
  <c r="M23" i="27" s="1"/>
  <c r="M24" i="27" s="1"/>
  <c r="S23" i="27" s="1"/>
  <c r="S24" i="27" s="1"/>
  <c r="M27" i="27" s="1"/>
  <c r="M28" i="27" s="1"/>
  <c r="S27" i="27" s="1"/>
  <c r="S28" i="27" s="1"/>
  <c r="M31" i="27" s="1"/>
  <c r="M32" i="27" s="1"/>
  <c r="S31" i="27" s="1"/>
  <c r="S32" i="27" s="1"/>
  <c r="E5" i="27" s="1"/>
  <c r="L4" i="27"/>
  <c r="T11" i="26"/>
  <c r="N11" i="26"/>
  <c r="N12" i="26"/>
  <c r="U48" i="26"/>
  <c r="U47" i="26"/>
  <c r="U46" i="26"/>
  <c r="U45" i="26"/>
  <c r="U44" i="26"/>
  <c r="O48" i="26"/>
  <c r="O47" i="26"/>
  <c r="O46" i="26"/>
  <c r="O45" i="26"/>
  <c r="O44" i="26"/>
  <c r="I48" i="26"/>
  <c r="I47" i="26"/>
  <c r="I46" i="26"/>
  <c r="I45" i="26"/>
  <c r="I44" i="26"/>
  <c r="H47" i="26"/>
  <c r="H48" i="26"/>
  <c r="C48" i="26"/>
  <c r="C47" i="26"/>
  <c r="C46" i="26"/>
  <c r="C45" i="26"/>
  <c r="C44" i="26"/>
  <c r="L4" i="26"/>
  <c r="B47" i="26"/>
  <c r="I32" i="26"/>
  <c r="H32" i="26"/>
  <c r="I31" i="26"/>
  <c r="H31" i="26"/>
  <c r="I28" i="26"/>
  <c r="H28" i="26"/>
  <c r="I27" i="26"/>
  <c r="H27" i="26"/>
  <c r="I24" i="26"/>
  <c r="H24" i="26"/>
  <c r="I23" i="26"/>
  <c r="H23" i="26"/>
  <c r="I20" i="26"/>
  <c r="H20" i="26"/>
  <c r="I19" i="26"/>
  <c r="H19" i="26"/>
  <c r="I16" i="26"/>
  <c r="H16" i="26"/>
  <c r="I15" i="26"/>
  <c r="H15" i="26"/>
  <c r="C32" i="26"/>
  <c r="B32" i="26"/>
  <c r="C31" i="26"/>
  <c r="C28" i="26"/>
  <c r="B28" i="26"/>
  <c r="B31" i="26"/>
  <c r="C27" i="26"/>
  <c r="B27" i="26"/>
  <c r="AR28" i="26"/>
  <c r="AQ28" i="26"/>
  <c r="AL28" i="26"/>
  <c r="AK28" i="26"/>
  <c r="AF28" i="26"/>
  <c r="AE28" i="26"/>
  <c r="Z28" i="26"/>
  <c r="Y28" i="26"/>
  <c r="AR27" i="26"/>
  <c r="AQ27" i="26"/>
  <c r="AL27" i="26"/>
  <c r="AK27" i="26"/>
  <c r="AF27" i="26"/>
  <c r="AE27" i="26"/>
  <c r="Z27" i="26"/>
  <c r="Y27" i="26"/>
  <c r="C24" i="26"/>
  <c r="C23" i="26"/>
  <c r="C20" i="26"/>
  <c r="C19" i="26"/>
  <c r="C16" i="26"/>
  <c r="AR32" i="26"/>
  <c r="AQ32" i="26"/>
  <c r="AL32" i="26"/>
  <c r="AK32" i="26"/>
  <c r="AF32" i="26"/>
  <c r="AE32" i="26"/>
  <c r="Z32" i="26"/>
  <c r="Y32" i="26"/>
  <c r="AR31" i="26"/>
  <c r="AQ31" i="26"/>
  <c r="AL31" i="26"/>
  <c r="AK31" i="26"/>
  <c r="AF31" i="26"/>
  <c r="AE31" i="26"/>
  <c r="Z31" i="26"/>
  <c r="Y31" i="26"/>
  <c r="T20" i="28" l="1"/>
  <c r="O28" i="28"/>
  <c r="T33" i="28"/>
  <c r="T16" i="28"/>
  <c r="O21" i="28"/>
  <c r="T28" i="28"/>
  <c r="T17" i="28"/>
  <c r="O29" i="28"/>
  <c r="G16" i="28"/>
  <c r="O20" i="28"/>
  <c r="O25" i="28"/>
  <c r="G97" i="43"/>
  <c r="M97" i="43"/>
  <c r="A98" i="43"/>
  <c r="M98" i="43" s="1"/>
  <c r="S78" i="43"/>
  <c r="G79" i="43"/>
  <c r="S79" i="43" s="1"/>
  <c r="T45" i="49"/>
  <c r="H45" i="49"/>
  <c r="B46" i="49"/>
  <c r="B49" i="49" s="1"/>
  <c r="B50" i="49" s="1"/>
  <c r="B51" i="49" s="1"/>
  <c r="B54" i="49" s="1"/>
  <c r="B55" i="49" s="1"/>
  <c r="B56" i="49" s="1"/>
  <c r="B59" i="49" s="1"/>
  <c r="B60" i="49" s="1"/>
  <c r="B61" i="49" s="1"/>
  <c r="B64" i="49" s="1"/>
  <c r="B65" i="49" s="1"/>
  <c r="B66" i="49" s="1"/>
  <c r="F5" i="49" s="1"/>
  <c r="N45" i="49"/>
  <c r="M79" i="48"/>
  <c r="G78" i="48"/>
  <c r="G79" i="48" s="1"/>
  <c r="S79" i="48" s="1"/>
  <c r="A98" i="48"/>
  <c r="M97" i="48"/>
  <c r="S78" i="48"/>
  <c r="A80" i="42"/>
  <c r="M79" i="42"/>
  <c r="S95" i="42"/>
  <c r="A98" i="42"/>
  <c r="G98" i="42" s="1"/>
  <c r="M104" i="41"/>
  <c r="G103" i="41"/>
  <c r="T77" i="45"/>
  <c r="N78" i="45"/>
  <c r="T78" i="45" s="1"/>
  <c r="H77" i="45"/>
  <c r="B78" i="45"/>
  <c r="B81" i="45" s="1"/>
  <c r="N81" i="45" s="1"/>
  <c r="T81" i="45" s="1"/>
  <c r="N82" i="45" s="1"/>
  <c r="T82" i="45" s="1"/>
  <c r="B23" i="39"/>
  <c r="H22" i="39"/>
  <c r="H23" i="39"/>
  <c r="N22" i="39" s="1"/>
  <c r="J23" i="37"/>
  <c r="O22" i="37"/>
  <c r="O23" i="37" s="1"/>
  <c r="S22" i="37" s="1"/>
  <c r="M37" i="36"/>
  <c r="S37" i="36"/>
  <c r="A40" i="36" s="1"/>
  <c r="G37" i="36"/>
  <c r="G17" i="28"/>
  <c r="A21" i="28" s="1"/>
  <c r="O16" i="28"/>
  <c r="O17" i="28"/>
  <c r="O24" i="28"/>
  <c r="O32" i="28"/>
  <c r="T21" i="28"/>
  <c r="T25" i="28"/>
  <c r="T29" i="28"/>
  <c r="T32" i="28"/>
  <c r="N16" i="28"/>
  <c r="N17" i="28"/>
  <c r="U17" i="28"/>
  <c r="N20" i="28"/>
  <c r="U20" i="28"/>
  <c r="N21" i="28"/>
  <c r="U21" i="28"/>
  <c r="N24" i="28"/>
  <c r="U24" i="28"/>
  <c r="N25" i="28"/>
  <c r="U25" i="28"/>
  <c r="U29" i="28"/>
  <c r="O32" i="27"/>
  <c r="O16" i="27"/>
  <c r="N31" i="27"/>
  <c r="N24" i="27"/>
  <c r="N20" i="27"/>
  <c r="N32" i="27"/>
  <c r="N16" i="27"/>
  <c r="U32" i="27"/>
  <c r="U28" i="27"/>
  <c r="U24" i="27"/>
  <c r="U19" i="27"/>
  <c r="O15" i="27"/>
  <c r="O23" i="27"/>
  <c r="N27" i="27"/>
  <c r="N23" i="27"/>
  <c r="N19" i="27"/>
  <c r="N15" i="27"/>
  <c r="T27" i="27"/>
  <c r="T23" i="27"/>
  <c r="T19" i="27"/>
  <c r="T15" i="27"/>
  <c r="U15" i="27"/>
  <c r="T31" i="27"/>
  <c r="T24" i="27"/>
  <c r="T20" i="27"/>
  <c r="N28" i="27"/>
  <c r="U27" i="27"/>
  <c r="U20" i="27"/>
  <c r="T32" i="27"/>
  <c r="T16" i="27"/>
  <c r="U31" i="27"/>
  <c r="U23" i="27"/>
  <c r="U16" i="27"/>
  <c r="T28" i="27"/>
  <c r="O19" i="27"/>
  <c r="O27" i="27"/>
  <c r="B48" i="26"/>
  <c r="H46" i="26"/>
  <c r="B46" i="26"/>
  <c r="H45" i="26"/>
  <c r="B45" i="26"/>
  <c r="H44" i="26"/>
  <c r="B44" i="26"/>
  <c r="Y33" i="26"/>
  <c r="AR24" i="26"/>
  <c r="AQ24" i="26"/>
  <c r="AL24" i="26"/>
  <c r="AK24" i="26"/>
  <c r="AF24" i="26"/>
  <c r="AE24" i="26"/>
  <c r="Z24" i="26"/>
  <c r="Y24" i="26"/>
  <c r="B24" i="26"/>
  <c r="AR23" i="26"/>
  <c r="AQ23" i="26"/>
  <c r="AL23" i="26"/>
  <c r="AK23" i="26"/>
  <c r="AF23" i="26"/>
  <c r="AE23" i="26"/>
  <c r="Z23" i="26"/>
  <c r="Y23" i="26"/>
  <c r="B23" i="26"/>
  <c r="AR20" i="26"/>
  <c r="AQ20" i="26"/>
  <c r="AL20" i="26"/>
  <c r="AK20" i="26"/>
  <c r="AF20" i="26"/>
  <c r="AE20" i="26"/>
  <c r="Z20" i="26"/>
  <c r="Y20" i="26"/>
  <c r="B20" i="26"/>
  <c r="AR19" i="26"/>
  <c r="AQ19" i="26"/>
  <c r="AL19" i="26"/>
  <c r="AK19" i="26"/>
  <c r="AF19" i="26"/>
  <c r="AE19" i="26"/>
  <c r="Z19" i="26"/>
  <c r="Y19" i="26"/>
  <c r="B19" i="26"/>
  <c r="AR16" i="26"/>
  <c r="AQ16" i="26"/>
  <c r="AL16" i="26"/>
  <c r="AK16" i="26"/>
  <c r="AF16" i="26"/>
  <c r="AE16" i="26"/>
  <c r="Z16" i="26"/>
  <c r="Y16" i="26"/>
  <c r="B16" i="26"/>
  <c r="AR15" i="26"/>
  <c r="AQ15" i="26"/>
  <c r="AL15" i="26"/>
  <c r="AK15" i="26"/>
  <c r="AF15" i="26"/>
  <c r="AE15" i="26"/>
  <c r="Z15" i="26"/>
  <c r="Y15" i="26"/>
  <c r="C15" i="26"/>
  <c r="B15" i="26"/>
  <c r="A15" i="26"/>
  <c r="A16" i="26" s="1"/>
  <c r="G15" i="26" s="1"/>
  <c r="G16" i="26" s="1"/>
  <c r="A19" i="26" s="1"/>
  <c r="A20" i="26" s="1"/>
  <c r="G19" i="26" s="1"/>
  <c r="M98" i="48" l="1"/>
  <c r="G97" i="48"/>
  <c r="G98" i="48" s="1"/>
  <c r="S98" i="48" s="1"/>
  <c r="E5" i="48" s="1"/>
  <c r="D9" i="26"/>
  <c r="D45" i="26" s="1"/>
  <c r="G98" i="43"/>
  <c r="S98" i="43" s="1"/>
  <c r="E5" i="43" s="1"/>
  <c r="S97" i="43"/>
  <c r="T46" i="49"/>
  <c r="T49" i="49" s="1"/>
  <c r="T50" i="49" s="1"/>
  <c r="T51" i="49" s="1"/>
  <c r="T54" i="49" s="1"/>
  <c r="T55" i="49" s="1"/>
  <c r="T56" i="49" s="1"/>
  <c r="T59" i="49" s="1"/>
  <c r="T60" i="49" s="1"/>
  <c r="T61" i="49" s="1"/>
  <c r="T64" i="49" s="1"/>
  <c r="T65" i="49" s="1"/>
  <c r="T66" i="49" s="1"/>
  <c r="H46" i="49"/>
  <c r="H49" i="49" s="1"/>
  <c r="H50" i="49" s="1"/>
  <c r="H51" i="49" s="1"/>
  <c r="H54" i="49" s="1"/>
  <c r="H55" i="49" s="1"/>
  <c r="H56" i="49" s="1"/>
  <c r="H59" i="49" s="1"/>
  <c r="H60" i="49" s="1"/>
  <c r="H61" i="49" s="1"/>
  <c r="H64" i="49" s="1"/>
  <c r="H65" i="49" s="1"/>
  <c r="H66" i="49" s="1"/>
  <c r="N46" i="49"/>
  <c r="N49" i="49" s="1"/>
  <c r="N50" i="49" s="1"/>
  <c r="N51" i="49" s="1"/>
  <c r="N54" i="49" s="1"/>
  <c r="N55" i="49" s="1"/>
  <c r="N56" i="49" s="1"/>
  <c r="N59" i="49" s="1"/>
  <c r="N60" i="49" s="1"/>
  <c r="N61" i="49" s="1"/>
  <c r="N64" i="49" s="1"/>
  <c r="N65" i="49" s="1"/>
  <c r="N66" i="49" s="1"/>
  <c r="S97" i="48"/>
  <c r="A99" i="42"/>
  <c r="M98" i="42"/>
  <c r="M80" i="42"/>
  <c r="S103" i="41"/>
  <c r="G104" i="41"/>
  <c r="H78" i="45"/>
  <c r="H81" i="45"/>
  <c r="B82" i="45" s="1"/>
  <c r="B85" i="45" s="1"/>
  <c r="N23" i="39"/>
  <c r="T22" i="39"/>
  <c r="T23" i="39"/>
  <c r="Z22" i="39" s="1"/>
  <c r="W22" i="37"/>
  <c r="W23" i="37" s="1"/>
  <c r="B33" i="37" s="1"/>
  <c r="S23" i="37"/>
  <c r="M40" i="36"/>
  <c r="S40" i="36"/>
  <c r="A41" i="36"/>
  <c r="G40" i="36"/>
  <c r="G21" i="28"/>
  <c r="A24" i="28"/>
  <c r="J12" i="26"/>
  <c r="J48" i="26" s="1"/>
  <c r="P8" i="26"/>
  <c r="P44" i="26" s="1"/>
  <c r="D12" i="26"/>
  <c r="D48" i="26" s="1"/>
  <c r="V11" i="26"/>
  <c r="V47" i="26" s="1"/>
  <c r="V12" i="26"/>
  <c r="V48" i="26" s="1"/>
  <c r="V10" i="26"/>
  <c r="V46" i="26" s="1"/>
  <c r="V8" i="26"/>
  <c r="V44" i="26" s="1"/>
  <c r="V9" i="26"/>
  <c r="V45" i="26" s="1"/>
  <c r="P12" i="26"/>
  <c r="P48" i="26" s="1"/>
  <c r="J11" i="26"/>
  <c r="J47" i="26" s="1"/>
  <c r="J8" i="26"/>
  <c r="J44" i="26" s="1"/>
  <c r="D10" i="26"/>
  <c r="D46" i="26" s="1"/>
  <c r="J9" i="26"/>
  <c r="J45" i="26" s="1"/>
  <c r="J10" i="26"/>
  <c r="J46" i="26" s="1"/>
  <c r="D8" i="26"/>
  <c r="D44" i="26" s="1"/>
  <c r="D11" i="26"/>
  <c r="D47" i="26" s="1"/>
  <c r="P9" i="26"/>
  <c r="P45" i="26" s="1"/>
  <c r="P10" i="26"/>
  <c r="P46" i="26" s="1"/>
  <c r="P11" i="26"/>
  <c r="P47" i="26" s="1"/>
  <c r="G20" i="26"/>
  <c r="A23" i="26" s="1"/>
  <c r="A24" i="26" s="1"/>
  <c r="G23" i="26" s="1"/>
  <c r="L4" i="23"/>
  <c r="J28" i="23"/>
  <c r="J27" i="23"/>
  <c r="V32" i="23" s="1"/>
  <c r="J26" i="23"/>
  <c r="K32" i="23" s="1"/>
  <c r="J25" i="23"/>
  <c r="J38" i="23" s="1"/>
  <c r="F28" i="23"/>
  <c r="G38" i="23" s="1"/>
  <c r="F27" i="23"/>
  <c r="S38" i="23" s="1"/>
  <c r="F26" i="23"/>
  <c r="R38" i="23" s="1"/>
  <c r="F25" i="23"/>
  <c r="F38" i="23" s="1"/>
  <c r="B28" i="23"/>
  <c r="O35" i="23" s="1"/>
  <c r="B27" i="23"/>
  <c r="O38" i="23" s="1"/>
  <c r="B26" i="23"/>
  <c r="N35" i="23" s="1"/>
  <c r="B25" i="23"/>
  <c r="K38" i="23"/>
  <c r="B38" i="23"/>
  <c r="W35" i="23"/>
  <c r="V35" i="23"/>
  <c r="J35" i="23"/>
  <c r="F35" i="23"/>
  <c r="B35" i="23"/>
  <c r="W32" i="23"/>
  <c r="N32" i="23"/>
  <c r="J32" i="23"/>
  <c r="F32" i="23"/>
  <c r="C32" i="23"/>
  <c r="B32" i="23"/>
  <c r="W21" i="23"/>
  <c r="V21" i="23"/>
  <c r="S21" i="23"/>
  <c r="R21" i="23"/>
  <c r="O21" i="23"/>
  <c r="N21" i="23"/>
  <c r="W15" i="23"/>
  <c r="V15" i="23"/>
  <c r="W18" i="23"/>
  <c r="V18" i="23"/>
  <c r="S18" i="23"/>
  <c r="R18" i="23"/>
  <c r="O18" i="23"/>
  <c r="N18" i="23"/>
  <c r="S15" i="23"/>
  <c r="R15" i="23"/>
  <c r="O15" i="23"/>
  <c r="N15" i="23"/>
  <c r="L4" i="22"/>
  <c r="T12" i="22"/>
  <c r="T11" i="22"/>
  <c r="U24" i="22" s="1"/>
  <c r="T10" i="22"/>
  <c r="T20" i="22" s="1"/>
  <c r="T9" i="22"/>
  <c r="T15" i="22" s="1"/>
  <c r="N12" i="22"/>
  <c r="O23" i="22" s="1"/>
  <c r="N11" i="22"/>
  <c r="O24" i="22" s="1"/>
  <c r="N10" i="22"/>
  <c r="O15" i="22" s="1"/>
  <c r="K21" i="23"/>
  <c r="J21" i="23"/>
  <c r="G21" i="23"/>
  <c r="F21" i="23"/>
  <c r="C21" i="23"/>
  <c r="B21" i="23"/>
  <c r="K18" i="23"/>
  <c r="J18" i="23"/>
  <c r="G18" i="23"/>
  <c r="F18" i="23"/>
  <c r="C18" i="23"/>
  <c r="B18" i="23"/>
  <c r="K15" i="23"/>
  <c r="J15" i="23"/>
  <c r="G15" i="23"/>
  <c r="F15" i="23"/>
  <c r="C15" i="23"/>
  <c r="B15" i="23"/>
  <c r="A15" i="23"/>
  <c r="E15" i="23" s="1"/>
  <c r="T24" i="22"/>
  <c r="T23" i="22"/>
  <c r="T19" i="22"/>
  <c r="U23" i="22"/>
  <c r="U15" i="22"/>
  <c r="N9" i="22"/>
  <c r="N23" i="22" s="1"/>
  <c r="I24" i="22"/>
  <c r="H24" i="22"/>
  <c r="C24" i="22"/>
  <c r="B24" i="22"/>
  <c r="I23" i="22"/>
  <c r="H23" i="22"/>
  <c r="C23" i="22"/>
  <c r="B23" i="22"/>
  <c r="I20" i="22"/>
  <c r="H20" i="22"/>
  <c r="C20" i="22"/>
  <c r="B20" i="22"/>
  <c r="I19" i="22"/>
  <c r="H19" i="22"/>
  <c r="C19" i="22"/>
  <c r="B19" i="22"/>
  <c r="I16" i="22"/>
  <c r="H16" i="22"/>
  <c r="C16" i="22"/>
  <c r="B16" i="22"/>
  <c r="I15" i="22"/>
  <c r="H15" i="22"/>
  <c r="C15" i="22"/>
  <c r="B15" i="22"/>
  <c r="A15" i="22"/>
  <c r="A16" i="22" s="1"/>
  <c r="N38" i="23" l="1"/>
  <c r="K35" i="23"/>
  <c r="V38" i="23"/>
  <c r="C35" i="23"/>
  <c r="C38" i="23"/>
  <c r="S79" i="42"/>
  <c r="G80" i="42"/>
  <c r="S80" i="42" s="1"/>
  <c r="M99" i="42"/>
  <c r="A115" i="41"/>
  <c r="S104" i="41"/>
  <c r="B88" i="45"/>
  <c r="N88" i="45" s="1"/>
  <c r="T88" i="45" s="1"/>
  <c r="N85" i="45"/>
  <c r="T85" i="45" s="1"/>
  <c r="H82" i="45"/>
  <c r="Z23" i="39"/>
  <c r="AF22" i="39"/>
  <c r="AF23" i="39"/>
  <c r="B41" i="39" s="1"/>
  <c r="F33" i="37"/>
  <c r="F34" i="37" s="1"/>
  <c r="J33" i="37" s="1"/>
  <c r="B34" i="37"/>
  <c r="M41" i="36"/>
  <c r="G41" i="36"/>
  <c r="S41" i="36"/>
  <c r="A44" i="36" s="1"/>
  <c r="G24" i="28"/>
  <c r="A25" i="28"/>
  <c r="S47" i="26"/>
  <c r="M47" i="26"/>
  <c r="M48" i="26"/>
  <c r="G47" i="26"/>
  <c r="G48" i="26"/>
  <c r="S44" i="26"/>
  <c r="A48" i="26"/>
  <c r="A47" i="26"/>
  <c r="G46" i="26"/>
  <c r="G44" i="26"/>
  <c r="G45" i="26"/>
  <c r="M44" i="26"/>
  <c r="S46" i="26"/>
  <c r="G24" i="26"/>
  <c r="S48" i="26"/>
  <c r="S45" i="26"/>
  <c r="M46" i="26"/>
  <c r="A46" i="26"/>
  <c r="M45" i="26"/>
  <c r="A45" i="26"/>
  <c r="A44" i="26"/>
  <c r="W38" i="23"/>
  <c r="S32" i="23"/>
  <c r="S35" i="23"/>
  <c r="G35" i="23"/>
  <c r="R32" i="23"/>
  <c r="R35" i="23"/>
  <c r="G32" i="23"/>
  <c r="O32" i="23"/>
  <c r="M15" i="23"/>
  <c r="I15" i="23"/>
  <c r="Q15" i="23"/>
  <c r="G15" i="22"/>
  <c r="T16" i="22"/>
  <c r="G16" i="22"/>
  <c r="G19" i="22" s="1"/>
  <c r="A19" i="22"/>
  <c r="A20" i="22" s="1"/>
  <c r="N15" i="22"/>
  <c r="N16" i="22"/>
  <c r="U16" i="22"/>
  <c r="N19" i="22"/>
  <c r="U19" i="22"/>
  <c r="N20" i="22"/>
  <c r="U20" i="22"/>
  <c r="N24" i="22"/>
  <c r="O16" i="22"/>
  <c r="O19" i="22"/>
  <c r="O20" i="22"/>
  <c r="U37" i="10"/>
  <c r="U36" i="10"/>
  <c r="T37" i="10"/>
  <c r="T36" i="10"/>
  <c r="N37" i="10"/>
  <c r="O36" i="10"/>
  <c r="I37" i="10"/>
  <c r="H37" i="10"/>
  <c r="I36" i="10"/>
  <c r="H36" i="10"/>
  <c r="B37" i="10"/>
  <c r="C36" i="10"/>
  <c r="U19" i="13"/>
  <c r="U18" i="13"/>
  <c r="T19" i="13"/>
  <c r="T18" i="13"/>
  <c r="O19" i="13"/>
  <c r="N19" i="13"/>
  <c r="O18" i="13"/>
  <c r="N18" i="13"/>
  <c r="B35" i="9"/>
  <c r="T38" i="9"/>
  <c r="T37" i="9"/>
  <c r="T36" i="9"/>
  <c r="T35" i="9"/>
  <c r="N38" i="9"/>
  <c r="N37" i="9"/>
  <c r="N36" i="9"/>
  <c r="N35" i="9"/>
  <c r="H38" i="9"/>
  <c r="H37" i="9"/>
  <c r="H36" i="9"/>
  <c r="H35" i="9"/>
  <c r="B38" i="9"/>
  <c r="B37" i="9"/>
  <c r="B36" i="9"/>
  <c r="S98" i="42" l="1"/>
  <c r="G99" i="42"/>
  <c r="G115" i="41"/>
  <c r="M115" i="41"/>
  <c r="S115" i="41" s="1"/>
  <c r="A117" i="41"/>
  <c r="H85" i="45"/>
  <c r="B91" i="45"/>
  <c r="H41" i="39"/>
  <c r="H42" i="39" s="1"/>
  <c r="N41" i="39" s="1"/>
  <c r="B42" i="39"/>
  <c r="O34" i="37"/>
  <c r="S33" i="37" s="1"/>
  <c r="J34" i="37"/>
  <c r="O33" i="37"/>
  <c r="M44" i="36"/>
  <c r="S44" i="36"/>
  <c r="A45" i="36"/>
  <c r="G44" i="36"/>
  <c r="G25" i="28"/>
  <c r="A28" i="28"/>
  <c r="G28" i="28" s="1"/>
  <c r="V36" i="26"/>
  <c r="V39" i="26"/>
  <c r="P36" i="26"/>
  <c r="P39" i="26"/>
  <c r="V37" i="26"/>
  <c r="H39" i="26"/>
  <c r="N9" i="26" s="1"/>
  <c r="A27" i="26"/>
  <c r="A28" i="26" s="1"/>
  <c r="G27" i="26" s="1"/>
  <c r="G28" i="26" s="1"/>
  <c r="A31" i="26" s="1"/>
  <c r="A32" i="26" s="1"/>
  <c r="G31" i="26" s="1"/>
  <c r="G32" i="26" s="1"/>
  <c r="M15" i="26" s="1"/>
  <c r="M16" i="26" s="1"/>
  <c r="S15" i="26" s="1"/>
  <c r="S16" i="26" s="1"/>
  <c r="M19" i="26" s="1"/>
  <c r="M20" i="26" s="1"/>
  <c r="S19" i="26" s="1"/>
  <c r="J39" i="26"/>
  <c r="J40" i="26"/>
  <c r="H38" i="26"/>
  <c r="J38" i="26"/>
  <c r="H40" i="26"/>
  <c r="H36" i="26"/>
  <c r="T9" i="26" s="1"/>
  <c r="T45" i="26" s="1"/>
  <c r="H37" i="26"/>
  <c r="T48" i="26" s="1"/>
  <c r="J37" i="26"/>
  <c r="J36" i="26"/>
  <c r="D39" i="26"/>
  <c r="B39" i="26"/>
  <c r="N10" i="26" s="1"/>
  <c r="D40" i="26"/>
  <c r="P40" i="26"/>
  <c r="V40" i="26"/>
  <c r="V38" i="26"/>
  <c r="P37" i="26"/>
  <c r="D38" i="26"/>
  <c r="D37" i="26"/>
  <c r="D36" i="26"/>
  <c r="B38" i="26"/>
  <c r="B36" i="26"/>
  <c r="T10" i="26" s="1"/>
  <c r="T46" i="26" s="1"/>
  <c r="B40" i="26"/>
  <c r="N8" i="26" s="1"/>
  <c r="B37" i="26"/>
  <c r="T8" i="26" s="1"/>
  <c r="P38" i="26"/>
  <c r="A18" i="23"/>
  <c r="E18" i="23" s="1"/>
  <c r="I18" i="23" s="1"/>
  <c r="A21" i="23" s="1"/>
  <c r="E21" i="23" s="1"/>
  <c r="I21" i="23" s="1"/>
  <c r="A32" i="23" s="1"/>
  <c r="U15" i="23"/>
  <c r="M18" i="23" s="1"/>
  <c r="Q18" i="23" s="1"/>
  <c r="U18" i="23" s="1"/>
  <c r="M21" i="23" s="1"/>
  <c r="Q21" i="23" s="1"/>
  <c r="U21" i="23" s="1"/>
  <c r="G20" i="22"/>
  <c r="G23" i="22" s="1"/>
  <c r="A23" i="22"/>
  <c r="A24" i="22" s="1"/>
  <c r="T29" i="8"/>
  <c r="T28" i="8"/>
  <c r="N29" i="8"/>
  <c r="N28" i="8"/>
  <c r="H29" i="8"/>
  <c r="H28" i="8"/>
  <c r="B29" i="8"/>
  <c r="B28" i="8"/>
  <c r="N8" i="5"/>
  <c r="T11" i="5"/>
  <c r="T10" i="5"/>
  <c r="T9" i="5"/>
  <c r="T8" i="5"/>
  <c r="N11" i="5"/>
  <c r="N10" i="5"/>
  <c r="N9" i="5"/>
  <c r="V32" i="20"/>
  <c r="W36" i="20" s="1"/>
  <c r="V31" i="20"/>
  <c r="W44" i="20" s="1"/>
  <c r="V30" i="20"/>
  <c r="V44" i="20" s="1"/>
  <c r="V29" i="20"/>
  <c r="V39" i="20" s="1"/>
  <c r="R31" i="20"/>
  <c r="R30" i="20"/>
  <c r="R29" i="20"/>
  <c r="N32" i="20"/>
  <c r="O40" i="20" s="1"/>
  <c r="N31" i="20"/>
  <c r="O44" i="20" s="1"/>
  <c r="N30" i="20"/>
  <c r="J32" i="20"/>
  <c r="K43" i="20" s="1"/>
  <c r="J31" i="20"/>
  <c r="J30" i="20"/>
  <c r="J40" i="20" s="1"/>
  <c r="F32" i="20"/>
  <c r="G40" i="20" s="1"/>
  <c r="F31" i="20"/>
  <c r="B32" i="20"/>
  <c r="C43" i="20" s="1"/>
  <c r="L4" i="20"/>
  <c r="W43" i="20"/>
  <c r="V43" i="20"/>
  <c r="S43" i="20"/>
  <c r="R43" i="20"/>
  <c r="O43" i="20"/>
  <c r="W40" i="20"/>
  <c r="S40" i="20"/>
  <c r="R39" i="20"/>
  <c r="S36" i="20"/>
  <c r="V35" i="20"/>
  <c r="R35" i="20"/>
  <c r="R36" i="20"/>
  <c r="R44" i="20"/>
  <c r="O35" i="20"/>
  <c r="N29" i="20"/>
  <c r="N43" i="20" s="1"/>
  <c r="W24" i="20"/>
  <c r="V24" i="20"/>
  <c r="S24" i="20"/>
  <c r="R24" i="20"/>
  <c r="O24" i="20"/>
  <c r="N24" i="20"/>
  <c r="W23" i="20"/>
  <c r="V23" i="20"/>
  <c r="S23" i="20"/>
  <c r="R23" i="20"/>
  <c r="O23" i="20"/>
  <c r="N23" i="20"/>
  <c r="W20" i="20"/>
  <c r="V20" i="20"/>
  <c r="S20" i="20"/>
  <c r="R20" i="20"/>
  <c r="O20" i="20"/>
  <c r="N20" i="20"/>
  <c r="W19" i="20"/>
  <c r="V19" i="20"/>
  <c r="S19" i="20"/>
  <c r="R19" i="20"/>
  <c r="O19" i="20"/>
  <c r="N19" i="20"/>
  <c r="W16" i="20"/>
  <c r="V16" i="20"/>
  <c r="S16" i="20"/>
  <c r="R16" i="20"/>
  <c r="O16" i="20"/>
  <c r="N16" i="20"/>
  <c r="W15" i="20"/>
  <c r="V15" i="20"/>
  <c r="S15" i="20"/>
  <c r="R15" i="20"/>
  <c r="O15" i="20"/>
  <c r="N15" i="20"/>
  <c r="J43" i="20"/>
  <c r="G43" i="20"/>
  <c r="F43" i="20"/>
  <c r="J39" i="20"/>
  <c r="F39" i="20"/>
  <c r="B39" i="20"/>
  <c r="G36" i="20"/>
  <c r="J35" i="20"/>
  <c r="F35" i="20"/>
  <c r="K39" i="20"/>
  <c r="G44" i="20"/>
  <c r="B31" i="20"/>
  <c r="B36" i="20" s="1"/>
  <c r="F30" i="20"/>
  <c r="F44" i="20" s="1"/>
  <c r="B30" i="20"/>
  <c r="B44" i="20" s="1"/>
  <c r="B29" i="20"/>
  <c r="B43" i="20" s="1"/>
  <c r="K24" i="20"/>
  <c r="J24" i="20"/>
  <c r="G24" i="20"/>
  <c r="F24" i="20"/>
  <c r="C24" i="20"/>
  <c r="B24" i="20"/>
  <c r="K23" i="20"/>
  <c r="J23" i="20"/>
  <c r="G23" i="20"/>
  <c r="F23" i="20"/>
  <c r="C23" i="20"/>
  <c r="B23" i="20"/>
  <c r="K20" i="20"/>
  <c r="J20" i="20"/>
  <c r="G20" i="20"/>
  <c r="F20" i="20"/>
  <c r="C20" i="20"/>
  <c r="B20" i="20"/>
  <c r="K19" i="20"/>
  <c r="J19" i="20"/>
  <c r="G19" i="20"/>
  <c r="F19" i="20"/>
  <c r="C19" i="20"/>
  <c r="B19" i="20"/>
  <c r="K16" i="20"/>
  <c r="J16" i="20"/>
  <c r="G16" i="20"/>
  <c r="F16" i="20"/>
  <c r="C16" i="20"/>
  <c r="B16" i="20"/>
  <c r="K15" i="20"/>
  <c r="J15" i="20"/>
  <c r="G15" i="20"/>
  <c r="F15" i="20"/>
  <c r="C15" i="20"/>
  <c r="B15" i="20"/>
  <c r="A15" i="20"/>
  <c r="A16" i="20" s="1"/>
  <c r="E15" i="20" s="1"/>
  <c r="E16" i="20" s="1"/>
  <c r="I15" i="20" s="1"/>
  <c r="I16" i="20" s="1"/>
  <c r="A19" i="20" s="1"/>
  <c r="B33" i="19"/>
  <c r="B32" i="19"/>
  <c r="B31" i="19"/>
  <c r="M15" i="19"/>
  <c r="M16" i="19" s="1"/>
  <c r="T45" i="19"/>
  <c r="T44" i="19"/>
  <c r="T40" i="19"/>
  <c r="T37" i="19"/>
  <c r="T36" i="19"/>
  <c r="T33" i="19"/>
  <c r="U44" i="19" s="1"/>
  <c r="N33" i="19"/>
  <c r="O41" i="19" s="1"/>
  <c r="H33" i="19"/>
  <c r="I44" i="19" s="1"/>
  <c r="C44" i="19"/>
  <c r="T32" i="19"/>
  <c r="U45" i="19" s="1"/>
  <c r="N32" i="19"/>
  <c r="N37" i="19" s="1"/>
  <c r="H32" i="19"/>
  <c r="I45" i="19" s="1"/>
  <c r="C45" i="19"/>
  <c r="T31" i="19"/>
  <c r="U36" i="19" s="1"/>
  <c r="N31" i="19"/>
  <c r="N45" i="19" s="1"/>
  <c r="H31" i="19"/>
  <c r="I36" i="19" s="1"/>
  <c r="C36" i="19"/>
  <c r="T30" i="19"/>
  <c r="N30" i="19"/>
  <c r="N44" i="19" s="1"/>
  <c r="H30" i="19"/>
  <c r="H44" i="19" s="1"/>
  <c r="B30" i="19"/>
  <c r="B44" i="19" s="1"/>
  <c r="U24" i="19"/>
  <c r="T24" i="19"/>
  <c r="O24" i="19"/>
  <c r="N24" i="19"/>
  <c r="I24" i="19"/>
  <c r="H24" i="19"/>
  <c r="C24" i="19"/>
  <c r="B24" i="19"/>
  <c r="U23" i="19"/>
  <c r="T23" i="19"/>
  <c r="O23" i="19"/>
  <c r="N23" i="19"/>
  <c r="I23" i="19"/>
  <c r="H23" i="19"/>
  <c r="C23" i="19"/>
  <c r="B23" i="19"/>
  <c r="U20" i="19"/>
  <c r="T20" i="19"/>
  <c r="O20" i="19"/>
  <c r="N20" i="19"/>
  <c r="I20" i="19"/>
  <c r="H20" i="19"/>
  <c r="C20" i="19"/>
  <c r="B20" i="19"/>
  <c r="U19" i="19"/>
  <c r="T19" i="19"/>
  <c r="O19" i="19"/>
  <c r="N19" i="19"/>
  <c r="I19" i="19"/>
  <c r="H19" i="19"/>
  <c r="C19" i="19"/>
  <c r="B19" i="19"/>
  <c r="U16" i="19"/>
  <c r="T16" i="19"/>
  <c r="O16" i="19"/>
  <c r="N16" i="19"/>
  <c r="I16" i="19"/>
  <c r="H16" i="19"/>
  <c r="C16" i="19"/>
  <c r="B16" i="19"/>
  <c r="U15" i="19"/>
  <c r="T15" i="19"/>
  <c r="O15" i="19"/>
  <c r="N15" i="19"/>
  <c r="I15" i="19"/>
  <c r="H15" i="19"/>
  <c r="C15" i="19"/>
  <c r="B15" i="19"/>
  <c r="A15" i="19"/>
  <c r="A16" i="19" s="1"/>
  <c r="G15" i="19" s="1"/>
  <c r="G16" i="19" s="1"/>
  <c r="L4" i="19"/>
  <c r="H40" i="19" l="1"/>
  <c r="H37" i="19"/>
  <c r="O40" i="19"/>
  <c r="T41" i="19"/>
  <c r="H45" i="19"/>
  <c r="C44" i="20"/>
  <c r="O39" i="20"/>
  <c r="N36" i="20"/>
  <c r="H36" i="19"/>
  <c r="O37" i="19"/>
  <c r="O45" i="19"/>
  <c r="M15" i="20"/>
  <c r="M16" i="20" s="1"/>
  <c r="Q15" i="20" s="1"/>
  <c r="Q16" i="20" s="1"/>
  <c r="U15" i="20" s="1"/>
  <c r="U16" i="20" s="1"/>
  <c r="O36" i="19"/>
  <c r="H41" i="19"/>
  <c r="O44" i="19"/>
  <c r="N39" i="20"/>
  <c r="G35" i="20"/>
  <c r="S99" i="42"/>
  <c r="E5" i="42" s="1"/>
  <c r="G117" i="41"/>
  <c r="M117" i="41"/>
  <c r="S117" i="41" s="1"/>
  <c r="A119" i="41"/>
  <c r="B94" i="45"/>
  <c r="N91" i="45"/>
  <c r="T91" i="45" s="1"/>
  <c r="H88" i="45"/>
  <c r="H91" i="45"/>
  <c r="T41" i="39"/>
  <c r="N42" i="39"/>
  <c r="T42" i="39" s="1"/>
  <c r="Z41" i="39" s="1"/>
  <c r="W33" i="37"/>
  <c r="W34" i="37" s="1"/>
  <c r="B37" i="37" s="1"/>
  <c r="S34" i="37"/>
  <c r="M45" i="36"/>
  <c r="S45" i="36"/>
  <c r="E5" i="36" s="1"/>
  <c r="G45" i="36"/>
  <c r="A29" i="28"/>
  <c r="A32" i="28" s="1"/>
  <c r="G32" i="28" s="1"/>
  <c r="G29" i="28"/>
  <c r="N48" i="26"/>
  <c r="O28" i="26"/>
  <c r="O19" i="26"/>
  <c r="O32" i="26"/>
  <c r="O24" i="26"/>
  <c r="U15" i="26"/>
  <c r="T31" i="26"/>
  <c r="T24" i="26"/>
  <c r="T20" i="26"/>
  <c r="T37" i="26"/>
  <c r="U32" i="26"/>
  <c r="U19" i="26"/>
  <c r="U28" i="26"/>
  <c r="U24" i="26"/>
  <c r="T40" i="26"/>
  <c r="N45" i="26"/>
  <c r="N37" i="26" s="1"/>
  <c r="O15" i="26"/>
  <c r="N24" i="26"/>
  <c r="N20" i="26"/>
  <c r="N31" i="26"/>
  <c r="O23" i="26"/>
  <c r="T47" i="26"/>
  <c r="T39" i="26" s="1"/>
  <c r="T27" i="26"/>
  <c r="T23" i="26"/>
  <c r="T19" i="26"/>
  <c r="T44" i="26"/>
  <c r="T36" i="26" s="1"/>
  <c r="T15" i="26"/>
  <c r="N27" i="26"/>
  <c r="N44" i="26"/>
  <c r="N36" i="26" s="1"/>
  <c r="N19" i="26"/>
  <c r="N15" i="26"/>
  <c r="N23" i="26"/>
  <c r="N46" i="26"/>
  <c r="N38" i="26" s="1"/>
  <c r="O20" i="26"/>
  <c r="N32" i="26"/>
  <c r="N16" i="26"/>
  <c r="O27" i="26"/>
  <c r="U20" i="26"/>
  <c r="T38" i="26"/>
  <c r="T32" i="26"/>
  <c r="T16" i="26"/>
  <c r="U27" i="26"/>
  <c r="S20" i="26"/>
  <c r="M23" i="26" s="1"/>
  <c r="M24" i="26" s="1"/>
  <c r="S23" i="26" s="1"/>
  <c r="S24" i="26" s="1"/>
  <c r="M27" i="26" s="1"/>
  <c r="M28" i="26" s="1"/>
  <c r="S27" i="26" s="1"/>
  <c r="S28" i="26" s="1"/>
  <c r="M31" i="26" s="1"/>
  <c r="M32" i="26" s="1"/>
  <c r="S31" i="26" s="1"/>
  <c r="S32" i="26" s="1"/>
  <c r="E5" i="26" s="1"/>
  <c r="M32" i="23"/>
  <c r="E32" i="23"/>
  <c r="G24" i="22"/>
  <c r="M15" i="22" s="1"/>
  <c r="K36" i="20"/>
  <c r="K40" i="20"/>
  <c r="V40" i="20"/>
  <c r="N40" i="20"/>
  <c r="N44" i="20"/>
  <c r="A20" i="20"/>
  <c r="E19" i="20" s="1"/>
  <c r="E20" i="20" s="1"/>
  <c r="I19" i="20" s="1"/>
  <c r="I20" i="20" s="1"/>
  <c r="A23" i="20" s="1"/>
  <c r="A24" i="20" s="1"/>
  <c r="E23" i="20" s="1"/>
  <c r="E24" i="20" s="1"/>
  <c r="I23" i="20" s="1"/>
  <c r="I24" i="20" s="1"/>
  <c r="A35" i="20" s="1"/>
  <c r="M19" i="20"/>
  <c r="M20" i="20" s="1"/>
  <c r="Q19" i="20" s="1"/>
  <c r="Q20" i="20" s="1"/>
  <c r="U19" i="20" s="1"/>
  <c r="U20" i="20" s="1"/>
  <c r="M23" i="20" s="1"/>
  <c r="M24" i="20" s="1"/>
  <c r="Q23" i="20" s="1"/>
  <c r="Q24" i="20" s="1"/>
  <c r="U23" i="20" s="1"/>
  <c r="U24" i="20" s="1"/>
  <c r="S44" i="20"/>
  <c r="S39" i="20"/>
  <c r="W39" i="20"/>
  <c r="O36" i="20"/>
  <c r="R40" i="20"/>
  <c r="W35" i="20"/>
  <c r="V36" i="20"/>
  <c r="N35" i="20"/>
  <c r="S35" i="20"/>
  <c r="B40" i="20"/>
  <c r="F40" i="20"/>
  <c r="J36" i="20"/>
  <c r="G39" i="20"/>
  <c r="K44" i="20"/>
  <c r="C36" i="20"/>
  <c r="K35" i="20"/>
  <c r="C39" i="20"/>
  <c r="J44" i="20"/>
  <c r="B35" i="20"/>
  <c r="F36" i="20"/>
  <c r="C40" i="20"/>
  <c r="C35" i="20"/>
  <c r="S15" i="19"/>
  <c r="S16" i="19" s="1"/>
  <c r="B36" i="19"/>
  <c r="B37" i="19"/>
  <c r="I37" i="19"/>
  <c r="B40" i="19"/>
  <c r="I40" i="19"/>
  <c r="B41" i="19"/>
  <c r="I41" i="19"/>
  <c r="B45" i="19"/>
  <c r="C37" i="19"/>
  <c r="C40" i="19"/>
  <c r="C41" i="19"/>
  <c r="N36" i="19"/>
  <c r="U37" i="19"/>
  <c r="N40" i="19"/>
  <c r="U40" i="19"/>
  <c r="N41" i="19"/>
  <c r="U41" i="19"/>
  <c r="T13" i="18"/>
  <c r="T12" i="18"/>
  <c r="T11" i="18"/>
  <c r="T10" i="18"/>
  <c r="N13" i="18"/>
  <c r="N12" i="18"/>
  <c r="N11" i="18"/>
  <c r="N10" i="18"/>
  <c r="I25" i="18"/>
  <c r="H25" i="18"/>
  <c r="C25" i="18"/>
  <c r="B25" i="18"/>
  <c r="I24" i="18"/>
  <c r="H24" i="18"/>
  <c r="C24" i="18"/>
  <c r="B24" i="18"/>
  <c r="I21" i="18"/>
  <c r="H21" i="18"/>
  <c r="C21" i="18"/>
  <c r="B21" i="18"/>
  <c r="I20" i="18"/>
  <c r="H20" i="18"/>
  <c r="C20" i="18"/>
  <c r="B20" i="18"/>
  <c r="I17" i="18"/>
  <c r="H17" i="18"/>
  <c r="C17" i="18"/>
  <c r="B17" i="18"/>
  <c r="I16" i="18"/>
  <c r="H16" i="18"/>
  <c r="C16" i="18"/>
  <c r="B16" i="18"/>
  <c r="A16" i="18"/>
  <c r="A17" i="18" s="1"/>
  <c r="G16" i="18" s="1"/>
  <c r="G17" i="18" s="1"/>
  <c r="A20" i="18" s="1"/>
  <c r="A21" i="18" s="1"/>
  <c r="G20" i="18" s="1"/>
  <c r="G21" i="18" s="1"/>
  <c r="A24" i="18" s="1"/>
  <c r="A25" i="18" s="1"/>
  <c r="G24" i="18" s="1"/>
  <c r="G25" i="18" s="1"/>
  <c r="M16" i="18" s="1"/>
  <c r="M17" i="18" s="1"/>
  <c r="S16" i="18" s="1"/>
  <c r="S17" i="18" s="1"/>
  <c r="M20" i="18" s="1"/>
  <c r="M21" i="18" s="1"/>
  <c r="S20" i="18" s="1"/>
  <c r="S21" i="18" s="1"/>
  <c r="M24" i="18" s="1"/>
  <c r="M25" i="18" s="1"/>
  <c r="S24" i="18" s="1"/>
  <c r="S25" i="18" s="1"/>
  <c r="E6" i="18" s="1"/>
  <c r="L5" i="18"/>
  <c r="D4" i="14"/>
  <c r="J28" i="14"/>
  <c r="J29" i="14"/>
  <c r="J34" i="14" s="1"/>
  <c r="F29" i="14"/>
  <c r="G37" i="14" s="1"/>
  <c r="F28" i="14"/>
  <c r="B29" i="14"/>
  <c r="B28" i="14"/>
  <c r="C33" i="14" s="1"/>
  <c r="B30" i="14"/>
  <c r="C38" i="14" s="1"/>
  <c r="B27" i="14"/>
  <c r="J42" i="14"/>
  <c r="G42" i="14"/>
  <c r="F42" i="14"/>
  <c r="C42" i="14"/>
  <c r="B42" i="14"/>
  <c r="K41" i="14"/>
  <c r="J41" i="14"/>
  <c r="G41" i="14"/>
  <c r="F41" i="14"/>
  <c r="C41" i="14"/>
  <c r="B41" i="14"/>
  <c r="K38" i="14"/>
  <c r="J38" i="14"/>
  <c r="G38" i="14"/>
  <c r="F38" i="14"/>
  <c r="B38" i="14"/>
  <c r="J37" i="14"/>
  <c r="F37" i="14"/>
  <c r="C37" i="14"/>
  <c r="B37" i="14"/>
  <c r="K34" i="14"/>
  <c r="G34" i="14"/>
  <c r="F34" i="14"/>
  <c r="C34" i="14"/>
  <c r="B34" i="14"/>
  <c r="K33" i="14"/>
  <c r="J33" i="14"/>
  <c r="G33" i="14"/>
  <c r="F33" i="14"/>
  <c r="B33" i="14"/>
  <c r="K23" i="14"/>
  <c r="J23" i="14"/>
  <c r="G23" i="14"/>
  <c r="F23" i="14"/>
  <c r="C23" i="14"/>
  <c r="B23" i="14"/>
  <c r="K22" i="14"/>
  <c r="J22" i="14"/>
  <c r="G22" i="14"/>
  <c r="F22" i="14"/>
  <c r="C22" i="14"/>
  <c r="B22" i="14"/>
  <c r="K19" i="14"/>
  <c r="J19" i="14"/>
  <c r="G19" i="14"/>
  <c r="F19" i="14"/>
  <c r="C19" i="14"/>
  <c r="B19" i="14"/>
  <c r="K18" i="14"/>
  <c r="J18" i="14"/>
  <c r="G18" i="14"/>
  <c r="F18" i="14"/>
  <c r="C18" i="14"/>
  <c r="B18" i="14"/>
  <c r="K15" i="14"/>
  <c r="J15" i="14"/>
  <c r="G15" i="14"/>
  <c r="F15" i="14"/>
  <c r="C15" i="14"/>
  <c r="B15" i="14"/>
  <c r="K14" i="14"/>
  <c r="J14" i="14"/>
  <c r="G14" i="14"/>
  <c r="F14" i="14"/>
  <c r="C14" i="14"/>
  <c r="B14" i="14"/>
  <c r="A14" i="14"/>
  <c r="A15" i="14" s="1"/>
  <c r="E14" i="14" s="1"/>
  <c r="E15" i="14" s="1"/>
  <c r="I14" i="14" s="1"/>
  <c r="I15" i="14" s="1"/>
  <c r="A18" i="14" s="1"/>
  <c r="A19" i="14" s="1"/>
  <c r="E18" i="14" s="1"/>
  <c r="E19" i="14" s="1"/>
  <c r="I18" i="14" s="1"/>
  <c r="I19" i="14" s="1"/>
  <c r="A22" i="14" s="1"/>
  <c r="A23" i="14" s="1"/>
  <c r="E22" i="14" s="1"/>
  <c r="E23" i="14" s="1"/>
  <c r="I22" i="14" s="1"/>
  <c r="I23" i="14" s="1"/>
  <c r="A33" i="14" s="1"/>
  <c r="A34" i="14" s="1"/>
  <c r="E33" i="14" s="1"/>
  <c r="E34" i="14" s="1"/>
  <c r="I33" i="14" s="1"/>
  <c r="I34" i="14" s="1"/>
  <c r="A37" i="14" s="1"/>
  <c r="A38" i="14" s="1"/>
  <c r="E37" i="14" s="1"/>
  <c r="E38" i="14" s="1"/>
  <c r="I37" i="14" s="1"/>
  <c r="I38" i="14" s="1"/>
  <c r="A41" i="14" s="1"/>
  <c r="A42" i="14" s="1"/>
  <c r="E41" i="14" s="1"/>
  <c r="E42" i="14" s="1"/>
  <c r="I41" i="14" s="1"/>
  <c r="I42" i="14" s="1"/>
  <c r="C5" i="14" s="1"/>
  <c r="L4" i="13"/>
  <c r="H51" i="13"/>
  <c r="G51" i="13"/>
  <c r="B51" i="13"/>
  <c r="A51" i="13"/>
  <c r="H50" i="13"/>
  <c r="G50" i="13"/>
  <c r="B50" i="13"/>
  <c r="A50" i="13"/>
  <c r="H47" i="13"/>
  <c r="G47" i="13"/>
  <c r="B47" i="13"/>
  <c r="A47" i="13"/>
  <c r="H46" i="13"/>
  <c r="G46" i="13"/>
  <c r="B46" i="13"/>
  <c r="A46" i="13"/>
  <c r="H43" i="13"/>
  <c r="G43" i="13"/>
  <c r="B43" i="13"/>
  <c r="A43" i="13"/>
  <c r="H42" i="13"/>
  <c r="G42" i="13"/>
  <c r="B42" i="13"/>
  <c r="A42" i="13"/>
  <c r="I40" i="13"/>
  <c r="J12" i="13" s="1"/>
  <c r="J40" i="13" s="1"/>
  <c r="H40" i="13"/>
  <c r="C40" i="13"/>
  <c r="B40" i="13"/>
  <c r="I39" i="13"/>
  <c r="H39" i="13"/>
  <c r="C39" i="13"/>
  <c r="B39" i="13"/>
  <c r="I38" i="13"/>
  <c r="H38" i="13"/>
  <c r="C38" i="13"/>
  <c r="B38" i="13"/>
  <c r="I37" i="13"/>
  <c r="H37" i="13"/>
  <c r="C37" i="13"/>
  <c r="B37" i="13"/>
  <c r="I24" i="13"/>
  <c r="H24" i="13"/>
  <c r="C24" i="13"/>
  <c r="B24" i="13"/>
  <c r="I23" i="13"/>
  <c r="H23" i="13"/>
  <c r="C23" i="13"/>
  <c r="B23" i="13"/>
  <c r="I20" i="13"/>
  <c r="H20" i="13"/>
  <c r="C20" i="13"/>
  <c r="B20" i="13"/>
  <c r="I19" i="13"/>
  <c r="H19" i="13"/>
  <c r="C19" i="13"/>
  <c r="B19" i="13"/>
  <c r="I16" i="13"/>
  <c r="H16" i="13"/>
  <c r="C16" i="13"/>
  <c r="B16" i="13"/>
  <c r="I15" i="13"/>
  <c r="H15" i="13"/>
  <c r="C15" i="13"/>
  <c r="B15" i="13"/>
  <c r="A15" i="13"/>
  <c r="H41" i="10"/>
  <c r="I41" i="10"/>
  <c r="I40" i="10"/>
  <c r="C40" i="10"/>
  <c r="H40" i="10"/>
  <c r="T41" i="10"/>
  <c r="U47" i="10" s="1"/>
  <c r="B51" i="10" s="1"/>
  <c r="T40" i="10"/>
  <c r="T47" i="10" s="1"/>
  <c r="B50" i="10" s="1"/>
  <c r="U41" i="10"/>
  <c r="O47" i="10" s="1"/>
  <c r="B53" i="10" s="1"/>
  <c r="U40" i="10"/>
  <c r="N47" i="10" s="1"/>
  <c r="B52" i="10" s="1"/>
  <c r="T73" i="10"/>
  <c r="S73" i="10"/>
  <c r="N73" i="10"/>
  <c r="M73" i="10"/>
  <c r="H73" i="10"/>
  <c r="G73" i="10"/>
  <c r="B73" i="10"/>
  <c r="A73" i="10"/>
  <c r="T72" i="10"/>
  <c r="S72" i="10"/>
  <c r="N72" i="10"/>
  <c r="M72" i="10"/>
  <c r="H72" i="10"/>
  <c r="G72" i="10"/>
  <c r="B72" i="10"/>
  <c r="A72" i="10"/>
  <c r="T69" i="10"/>
  <c r="S69" i="10"/>
  <c r="N69" i="10"/>
  <c r="M69" i="10"/>
  <c r="H69" i="10"/>
  <c r="G69" i="10"/>
  <c r="B69" i="10"/>
  <c r="A69" i="10"/>
  <c r="T68" i="10"/>
  <c r="S68" i="10"/>
  <c r="N68" i="10"/>
  <c r="M68" i="10"/>
  <c r="H68" i="10"/>
  <c r="G68" i="10"/>
  <c r="B68" i="10"/>
  <c r="A68" i="10"/>
  <c r="T65" i="10"/>
  <c r="S65" i="10"/>
  <c r="N65" i="10"/>
  <c r="M65" i="10"/>
  <c r="P10" i="10" s="1"/>
  <c r="P61" i="10" s="1"/>
  <c r="H65" i="10"/>
  <c r="G65" i="10"/>
  <c r="B65" i="10"/>
  <c r="A65" i="10"/>
  <c r="T64" i="10"/>
  <c r="S64" i="10"/>
  <c r="N64" i="10"/>
  <c r="M64" i="10"/>
  <c r="H64" i="10"/>
  <c r="G64" i="10"/>
  <c r="B64" i="10"/>
  <c r="A64" i="10"/>
  <c r="U62" i="10"/>
  <c r="T62" i="10"/>
  <c r="O62" i="10"/>
  <c r="N62" i="10"/>
  <c r="I62" i="10"/>
  <c r="H62" i="10"/>
  <c r="C62" i="10"/>
  <c r="B62" i="10"/>
  <c r="U61" i="10"/>
  <c r="T61" i="10"/>
  <c r="O61" i="10"/>
  <c r="N61" i="10"/>
  <c r="I61" i="10"/>
  <c r="H61" i="10"/>
  <c r="C61" i="10"/>
  <c r="B61" i="10"/>
  <c r="U60" i="10"/>
  <c r="T60" i="10"/>
  <c r="O60" i="10"/>
  <c r="N60" i="10"/>
  <c r="I60" i="10"/>
  <c r="H60" i="10"/>
  <c r="C60" i="10"/>
  <c r="B60" i="10"/>
  <c r="U59" i="10"/>
  <c r="T59" i="10"/>
  <c r="O59" i="10"/>
  <c r="N59" i="10"/>
  <c r="I59" i="10"/>
  <c r="H59" i="10"/>
  <c r="C59" i="10"/>
  <c r="B59" i="10"/>
  <c r="U23" i="10"/>
  <c r="T23" i="10"/>
  <c r="O23" i="10"/>
  <c r="N23" i="10"/>
  <c r="I23" i="10"/>
  <c r="H23" i="10"/>
  <c r="C23" i="10"/>
  <c r="B23" i="10"/>
  <c r="U22" i="10"/>
  <c r="T22" i="10"/>
  <c r="O22" i="10"/>
  <c r="N22" i="10"/>
  <c r="I22" i="10"/>
  <c r="H22" i="10"/>
  <c r="C22" i="10"/>
  <c r="B22" i="10"/>
  <c r="U19" i="10"/>
  <c r="T19" i="10"/>
  <c r="O19" i="10"/>
  <c r="N19" i="10"/>
  <c r="I19" i="10"/>
  <c r="H19" i="10"/>
  <c r="C19" i="10"/>
  <c r="B19" i="10"/>
  <c r="U18" i="10"/>
  <c r="T18" i="10"/>
  <c r="O18" i="10"/>
  <c r="N18" i="10"/>
  <c r="I18" i="10"/>
  <c r="H18" i="10"/>
  <c r="C18" i="10"/>
  <c r="B18" i="10"/>
  <c r="U15" i="10"/>
  <c r="T15" i="10"/>
  <c r="O15" i="10"/>
  <c r="N15" i="10"/>
  <c r="I15" i="10"/>
  <c r="H15" i="10"/>
  <c r="C15" i="10"/>
  <c r="B15" i="10"/>
  <c r="U14" i="10"/>
  <c r="T14" i="10"/>
  <c r="O14" i="10"/>
  <c r="N14" i="10"/>
  <c r="I14" i="10"/>
  <c r="H14" i="10"/>
  <c r="C14" i="10"/>
  <c r="B14" i="10"/>
  <c r="A14" i="10"/>
  <c r="A15" i="10" s="1"/>
  <c r="G14" i="10" s="1"/>
  <c r="G15" i="10" s="1"/>
  <c r="M14" i="10" s="1"/>
  <c r="M15" i="10" s="1"/>
  <c r="S14" i="10" s="1"/>
  <c r="S15" i="10" s="1"/>
  <c r="A18" i="10" s="1"/>
  <c r="A19" i="10" s="1"/>
  <c r="G18" i="10" s="1"/>
  <c r="G19" i="10" s="1"/>
  <c r="M18" i="10" s="1"/>
  <c r="M19" i="10" s="1"/>
  <c r="S18" i="10" s="1"/>
  <c r="S19" i="10" s="1"/>
  <c r="A22" i="10" s="1"/>
  <c r="A23" i="10" s="1"/>
  <c r="G22" i="10" s="1"/>
  <c r="G23" i="10" s="1"/>
  <c r="M22" i="10" s="1"/>
  <c r="M23" i="10" s="1"/>
  <c r="S22" i="10" s="1"/>
  <c r="S23" i="10" s="1"/>
  <c r="A36" i="10" s="1"/>
  <c r="L4" i="10"/>
  <c r="J11" i="10" l="1"/>
  <c r="J62" i="10" s="1"/>
  <c r="A16" i="13"/>
  <c r="G15" i="13" s="1"/>
  <c r="G16" i="13" s="1"/>
  <c r="A19" i="13" s="1"/>
  <c r="A20" i="13" s="1"/>
  <c r="G19" i="13" s="1"/>
  <c r="G20" i="13" s="1"/>
  <c r="K42" i="14"/>
  <c r="G119" i="41"/>
  <c r="A121" i="41"/>
  <c r="M119" i="41"/>
  <c r="S119" i="41" s="1"/>
  <c r="B97" i="45"/>
  <c r="N94" i="45"/>
  <c r="T94" i="45" s="1"/>
  <c r="H94" i="45"/>
  <c r="Z42" i="39"/>
  <c r="AF41" i="39"/>
  <c r="AF42" i="39" s="1"/>
  <c r="B45" i="39" s="1"/>
  <c r="F37" i="37"/>
  <c r="F38" i="37" s="1"/>
  <c r="J37" i="37" s="1"/>
  <c r="B38" i="37"/>
  <c r="A33" i="28"/>
  <c r="G33" i="28" s="1"/>
  <c r="M16" i="28" s="1"/>
  <c r="S16" i="28" s="1"/>
  <c r="S17" i="28" s="1"/>
  <c r="A19" i="19"/>
  <c r="A20" i="19" s="1"/>
  <c r="G19" i="19" s="1"/>
  <c r="G20" i="19" s="1"/>
  <c r="M19" i="19"/>
  <c r="A36" i="20"/>
  <c r="E35" i="20" s="1"/>
  <c r="E36" i="20" s="1"/>
  <c r="I35" i="20" s="1"/>
  <c r="I36" i="20" s="1"/>
  <c r="A39" i="20" s="1"/>
  <c r="A40" i="20" s="1"/>
  <c r="E39" i="20" s="1"/>
  <c r="E40" i="20" s="1"/>
  <c r="I39" i="20" s="1"/>
  <c r="I40" i="20" s="1"/>
  <c r="A43" i="20" s="1"/>
  <c r="A44" i="20" s="1"/>
  <c r="E43" i="20" s="1"/>
  <c r="E44" i="20" s="1"/>
  <c r="I43" i="20" s="1"/>
  <c r="I44" i="20" s="1"/>
  <c r="F5" i="20" s="1"/>
  <c r="M35" i="20"/>
  <c r="M36" i="20" s="1"/>
  <c r="Q35" i="20" s="1"/>
  <c r="Q36" i="20" s="1"/>
  <c r="U35" i="20" s="1"/>
  <c r="U36" i="20" s="1"/>
  <c r="M39" i="20" s="1"/>
  <c r="M40" i="20" s="1"/>
  <c r="Q39" i="20" s="1"/>
  <c r="Q40" i="20" s="1"/>
  <c r="U39" i="20" s="1"/>
  <c r="U40" i="20" s="1"/>
  <c r="M43" i="20" s="1"/>
  <c r="M44" i="20" s="1"/>
  <c r="Q43" i="20" s="1"/>
  <c r="Q44" i="20" s="1"/>
  <c r="U43" i="20" s="1"/>
  <c r="U44" i="20" s="1"/>
  <c r="N40" i="26"/>
  <c r="U23" i="26"/>
  <c r="U16" i="26"/>
  <c r="U31" i="26"/>
  <c r="T28" i="26"/>
  <c r="N47" i="26"/>
  <c r="N39" i="26" s="1"/>
  <c r="O16" i="26"/>
  <c r="N28" i="26"/>
  <c r="O31" i="26"/>
  <c r="I32" i="23"/>
  <c r="Q32" i="23"/>
  <c r="S15" i="22"/>
  <c r="S16" i="22" s="1"/>
  <c r="S19" i="22" s="1"/>
  <c r="S20" i="22" s="1"/>
  <c r="S23" i="22" s="1"/>
  <c r="S24" i="22" s="1"/>
  <c r="M16" i="22"/>
  <c r="M19" i="22" s="1"/>
  <c r="M20" i="22" s="1"/>
  <c r="M23" i="22" s="1"/>
  <c r="M24" i="22" s="1"/>
  <c r="K37" i="14"/>
  <c r="J9" i="13"/>
  <c r="J37" i="13" s="1"/>
  <c r="J11" i="13"/>
  <c r="J39" i="13" s="1"/>
  <c r="J10" i="13"/>
  <c r="J38" i="13" s="1"/>
  <c r="D9" i="13"/>
  <c r="D37" i="13" s="1"/>
  <c r="D12" i="13"/>
  <c r="D40" i="13" s="1"/>
  <c r="D11" i="13"/>
  <c r="D39" i="13" s="1"/>
  <c r="D10" i="13"/>
  <c r="D38" i="13" s="1"/>
  <c r="P8" i="10"/>
  <c r="P59" i="10" s="1"/>
  <c r="J8" i="10"/>
  <c r="J59" i="10" s="1"/>
  <c r="V8" i="10"/>
  <c r="V59" i="10" s="1"/>
  <c r="J10" i="10"/>
  <c r="J61" i="10" s="1"/>
  <c r="V10" i="10"/>
  <c r="V61" i="10" s="1"/>
  <c r="V9" i="10"/>
  <c r="V60" i="10" s="1"/>
  <c r="S62" i="10" s="1"/>
  <c r="J9" i="10"/>
  <c r="J60" i="10" s="1"/>
  <c r="D9" i="10"/>
  <c r="D60" i="10" s="1"/>
  <c r="D8" i="10"/>
  <c r="D59" i="10" s="1"/>
  <c r="A37" i="10"/>
  <c r="G36" i="10" s="1"/>
  <c r="G37" i="10" s="1"/>
  <c r="M36" i="10" s="1"/>
  <c r="M37" i="10" s="1"/>
  <c r="S36" i="10" s="1"/>
  <c r="S37" i="10" s="1"/>
  <c r="A40" i="10" s="1"/>
  <c r="A41" i="10" s="1"/>
  <c r="G40" i="10" s="1"/>
  <c r="G41" i="10" s="1"/>
  <c r="M40" i="10" s="1"/>
  <c r="M41" i="10" s="1"/>
  <c r="S40" i="10" s="1"/>
  <c r="S41" i="10" s="1"/>
  <c r="A44" i="10" s="1"/>
  <c r="G44" i="10" s="1"/>
  <c r="M44" i="10" s="1"/>
  <c r="S44" i="10" s="1"/>
  <c r="A47" i="10" s="1"/>
  <c r="G47" i="10" s="1"/>
  <c r="M47" i="10" s="1"/>
  <c r="S47" i="10" s="1"/>
  <c r="E5" i="10" s="1"/>
  <c r="V11" i="10"/>
  <c r="V62" i="10" s="1"/>
  <c r="D11" i="10"/>
  <c r="D62" i="10" s="1"/>
  <c r="P11" i="10"/>
  <c r="P62" i="10" s="1"/>
  <c r="D10" i="10"/>
  <c r="D61" i="10" s="1"/>
  <c r="P9" i="10"/>
  <c r="P60" i="10" s="1"/>
  <c r="U72" i="9"/>
  <c r="U71" i="9"/>
  <c r="U70" i="9"/>
  <c r="U69" i="9"/>
  <c r="O72" i="9"/>
  <c r="O71" i="9"/>
  <c r="O70" i="9"/>
  <c r="O69" i="9"/>
  <c r="I72" i="9"/>
  <c r="I71" i="9"/>
  <c r="I70" i="9"/>
  <c r="I69" i="9"/>
  <c r="C72" i="9"/>
  <c r="C71" i="9"/>
  <c r="C70" i="9"/>
  <c r="C69" i="9"/>
  <c r="T109" i="9"/>
  <c r="S109" i="9"/>
  <c r="N109" i="9"/>
  <c r="M109" i="9"/>
  <c r="H109" i="9"/>
  <c r="G109" i="9"/>
  <c r="B109" i="9"/>
  <c r="A109" i="9"/>
  <c r="T108" i="9"/>
  <c r="S108" i="9"/>
  <c r="N108" i="9"/>
  <c r="M108" i="9"/>
  <c r="H108" i="9"/>
  <c r="G108" i="9"/>
  <c r="B108" i="9"/>
  <c r="A108" i="9"/>
  <c r="T105" i="9"/>
  <c r="S105" i="9"/>
  <c r="N105" i="9"/>
  <c r="M105" i="9"/>
  <c r="H105" i="9"/>
  <c r="G105" i="9"/>
  <c r="B105" i="9"/>
  <c r="A105" i="9"/>
  <c r="T104" i="9"/>
  <c r="S104" i="9"/>
  <c r="N104" i="9"/>
  <c r="M104" i="9"/>
  <c r="H104" i="9"/>
  <c r="G104" i="9"/>
  <c r="B104" i="9"/>
  <c r="A104" i="9"/>
  <c r="T101" i="9"/>
  <c r="S101" i="9"/>
  <c r="V37" i="9" s="1"/>
  <c r="V71" i="9" s="1"/>
  <c r="N101" i="9"/>
  <c r="M101" i="9"/>
  <c r="H101" i="9"/>
  <c r="G101" i="9"/>
  <c r="B101" i="9"/>
  <c r="A101" i="9"/>
  <c r="T100" i="9"/>
  <c r="S100" i="9"/>
  <c r="N100" i="9"/>
  <c r="M100" i="9"/>
  <c r="H100" i="9"/>
  <c r="G100" i="9"/>
  <c r="B100" i="9"/>
  <c r="A100" i="9"/>
  <c r="V35" i="9"/>
  <c r="V69" i="9" s="1"/>
  <c r="L4" i="9"/>
  <c r="T83" i="9"/>
  <c r="S83" i="9"/>
  <c r="T82" i="9"/>
  <c r="S82" i="9"/>
  <c r="T79" i="9"/>
  <c r="S79" i="9"/>
  <c r="T78" i="9"/>
  <c r="S78" i="9"/>
  <c r="T75" i="9"/>
  <c r="S75" i="9"/>
  <c r="T74" i="9"/>
  <c r="S74" i="9"/>
  <c r="U66" i="9"/>
  <c r="T66" i="9"/>
  <c r="U65" i="9"/>
  <c r="T65" i="9"/>
  <c r="U64" i="9"/>
  <c r="T64" i="9"/>
  <c r="U63" i="9"/>
  <c r="T63" i="9"/>
  <c r="U23" i="9"/>
  <c r="T23" i="9"/>
  <c r="U22" i="9"/>
  <c r="T22" i="9"/>
  <c r="U19" i="9"/>
  <c r="T19" i="9"/>
  <c r="U18" i="9"/>
  <c r="T18" i="9"/>
  <c r="U15" i="9"/>
  <c r="T15" i="9"/>
  <c r="U14" i="9"/>
  <c r="T14" i="9"/>
  <c r="N83" i="9"/>
  <c r="M83" i="9"/>
  <c r="H83" i="9"/>
  <c r="G83" i="9"/>
  <c r="B83" i="9"/>
  <c r="A83" i="9"/>
  <c r="N82" i="9"/>
  <c r="M82" i="9"/>
  <c r="H82" i="9"/>
  <c r="G82" i="9"/>
  <c r="B82" i="9"/>
  <c r="A82" i="9"/>
  <c r="N79" i="9"/>
  <c r="M79" i="9"/>
  <c r="H79" i="9"/>
  <c r="G79" i="9"/>
  <c r="B79" i="9"/>
  <c r="A79" i="9"/>
  <c r="N78" i="9"/>
  <c r="M78" i="9"/>
  <c r="H78" i="9"/>
  <c r="G78" i="9"/>
  <c r="B78" i="9"/>
  <c r="A78" i="9"/>
  <c r="N75" i="9"/>
  <c r="M75" i="9"/>
  <c r="H75" i="9"/>
  <c r="G75" i="9"/>
  <c r="B75" i="9"/>
  <c r="A75" i="9"/>
  <c r="N74" i="9"/>
  <c r="M74" i="9"/>
  <c r="H74" i="9"/>
  <c r="G74" i="9"/>
  <c r="B74" i="9"/>
  <c r="A74" i="9"/>
  <c r="O66" i="9"/>
  <c r="N66" i="9"/>
  <c r="I66" i="9"/>
  <c r="H66" i="9"/>
  <c r="C66" i="9"/>
  <c r="B66" i="9"/>
  <c r="O65" i="9"/>
  <c r="N65" i="9"/>
  <c r="I65" i="9"/>
  <c r="H65" i="9"/>
  <c r="C65" i="9"/>
  <c r="B65" i="9"/>
  <c r="O64" i="9"/>
  <c r="N64" i="9"/>
  <c r="I64" i="9"/>
  <c r="H64" i="9"/>
  <c r="C64" i="9"/>
  <c r="B64" i="9"/>
  <c r="O63" i="9"/>
  <c r="N63" i="9"/>
  <c r="I63" i="9"/>
  <c r="H63" i="9"/>
  <c r="C63" i="9"/>
  <c r="B63" i="9"/>
  <c r="O23" i="9"/>
  <c r="N23" i="9"/>
  <c r="I23" i="9"/>
  <c r="H23" i="9"/>
  <c r="C23" i="9"/>
  <c r="B23" i="9"/>
  <c r="O22" i="9"/>
  <c r="N22" i="9"/>
  <c r="I22" i="9"/>
  <c r="H22" i="9"/>
  <c r="C22" i="9"/>
  <c r="B22" i="9"/>
  <c r="O19" i="9"/>
  <c r="N19" i="9"/>
  <c r="I19" i="9"/>
  <c r="H19" i="9"/>
  <c r="C19" i="9"/>
  <c r="B19" i="9"/>
  <c r="O18" i="9"/>
  <c r="N18" i="9"/>
  <c r="I18" i="9"/>
  <c r="H18" i="9"/>
  <c r="C18" i="9"/>
  <c r="B18" i="9"/>
  <c r="O15" i="9"/>
  <c r="N15" i="9"/>
  <c r="I15" i="9"/>
  <c r="H15" i="9"/>
  <c r="C15" i="9"/>
  <c r="B15" i="9"/>
  <c r="O14" i="9"/>
  <c r="N14" i="9"/>
  <c r="I14" i="9"/>
  <c r="H14" i="9"/>
  <c r="C14" i="9"/>
  <c r="B14" i="9"/>
  <c r="A14" i="9"/>
  <c r="A15" i="9" s="1"/>
  <c r="G14" i="9" s="1"/>
  <c r="G15" i="9" s="1"/>
  <c r="M14" i="9" s="1"/>
  <c r="M15" i="9" s="1"/>
  <c r="U53" i="8"/>
  <c r="U52" i="8"/>
  <c r="U51" i="8"/>
  <c r="O53" i="8"/>
  <c r="O52" i="8"/>
  <c r="O51" i="8"/>
  <c r="I53" i="8"/>
  <c r="I52" i="8"/>
  <c r="I51" i="8"/>
  <c r="C53" i="8"/>
  <c r="C52" i="8"/>
  <c r="C51" i="8"/>
  <c r="O48" i="8"/>
  <c r="N48" i="8"/>
  <c r="O47" i="8"/>
  <c r="N47" i="8"/>
  <c r="O46" i="8"/>
  <c r="N46" i="8"/>
  <c r="O45" i="8"/>
  <c r="N45" i="8"/>
  <c r="I48" i="8"/>
  <c r="H48" i="8"/>
  <c r="I47" i="8"/>
  <c r="H47" i="8"/>
  <c r="I46" i="8"/>
  <c r="H46" i="8"/>
  <c r="I45" i="8"/>
  <c r="H45" i="8"/>
  <c r="C48" i="8"/>
  <c r="C47" i="8"/>
  <c r="C46" i="8"/>
  <c r="C45" i="8"/>
  <c r="B48" i="8"/>
  <c r="B47" i="8"/>
  <c r="B46" i="8"/>
  <c r="B45" i="8"/>
  <c r="G69" i="8"/>
  <c r="H69" i="8"/>
  <c r="M69" i="8"/>
  <c r="N69" i="8"/>
  <c r="S69" i="8"/>
  <c r="T69" i="8"/>
  <c r="A69" i="8"/>
  <c r="B69" i="8"/>
  <c r="T68" i="8"/>
  <c r="S68" i="8"/>
  <c r="T67" i="8"/>
  <c r="S67" i="8"/>
  <c r="N68" i="8"/>
  <c r="P29" i="8" s="1"/>
  <c r="P53" i="8" s="1"/>
  <c r="M68" i="8"/>
  <c r="P27" i="8" s="1"/>
  <c r="P51" i="8" s="1"/>
  <c r="N67" i="8"/>
  <c r="M67" i="8"/>
  <c r="H68" i="8"/>
  <c r="G68" i="8"/>
  <c r="H67" i="8"/>
  <c r="G67" i="8"/>
  <c r="B68" i="8"/>
  <c r="B67" i="8"/>
  <c r="A68" i="8"/>
  <c r="A67" i="8"/>
  <c r="D27" i="8" s="1"/>
  <c r="A63" i="8"/>
  <c r="B63" i="8"/>
  <c r="A64" i="8"/>
  <c r="N64" i="8"/>
  <c r="M64" i="8"/>
  <c r="N63" i="8"/>
  <c r="M63" i="8"/>
  <c r="H64" i="8"/>
  <c r="G64" i="8"/>
  <c r="H63" i="8"/>
  <c r="G63" i="8"/>
  <c r="N60" i="8"/>
  <c r="M60" i="8"/>
  <c r="N59" i="8"/>
  <c r="M59" i="8"/>
  <c r="H60" i="8"/>
  <c r="G60" i="8"/>
  <c r="H59" i="8"/>
  <c r="G59" i="8"/>
  <c r="N56" i="8"/>
  <c r="M56" i="8"/>
  <c r="N55" i="8"/>
  <c r="M55" i="8"/>
  <c r="H56" i="8"/>
  <c r="G56" i="8"/>
  <c r="H55" i="8"/>
  <c r="G55" i="8"/>
  <c r="B56" i="8"/>
  <c r="B59" i="8"/>
  <c r="B60" i="8"/>
  <c r="B64" i="8"/>
  <c r="B55" i="8"/>
  <c r="A56" i="8"/>
  <c r="A59" i="8"/>
  <c r="A60" i="8"/>
  <c r="A55" i="8"/>
  <c r="Y14" i="5"/>
  <c r="L4" i="8"/>
  <c r="I23" i="8"/>
  <c r="H23" i="8"/>
  <c r="C23" i="8"/>
  <c r="B23" i="8"/>
  <c r="I22" i="8"/>
  <c r="H22" i="8"/>
  <c r="C22" i="8"/>
  <c r="B22" i="8"/>
  <c r="I19" i="8"/>
  <c r="H19" i="8"/>
  <c r="C19" i="8"/>
  <c r="B19" i="8"/>
  <c r="I18" i="8"/>
  <c r="H18" i="8"/>
  <c r="C18" i="8"/>
  <c r="B18" i="8"/>
  <c r="I15" i="8"/>
  <c r="H15" i="8"/>
  <c r="C15" i="8"/>
  <c r="B15" i="8"/>
  <c r="I14" i="8"/>
  <c r="H14" i="8"/>
  <c r="C14" i="8"/>
  <c r="B14" i="8"/>
  <c r="A14" i="8"/>
  <c r="A15" i="8" s="1"/>
  <c r="U37" i="5"/>
  <c r="U36" i="5"/>
  <c r="U35" i="5"/>
  <c r="U34" i="5"/>
  <c r="O37" i="5"/>
  <c r="O36" i="5"/>
  <c r="O35" i="5"/>
  <c r="O34" i="5"/>
  <c r="I37" i="5"/>
  <c r="H37" i="5"/>
  <c r="I36" i="5"/>
  <c r="H36" i="5"/>
  <c r="I35" i="5"/>
  <c r="H35" i="5"/>
  <c r="I34" i="5"/>
  <c r="H34" i="5"/>
  <c r="C37" i="5"/>
  <c r="C36" i="5"/>
  <c r="C35" i="5"/>
  <c r="C34" i="5"/>
  <c r="B14" i="5"/>
  <c r="B37" i="5"/>
  <c r="B36" i="5"/>
  <c r="B35" i="5"/>
  <c r="B34" i="5"/>
  <c r="L4" i="5"/>
  <c r="A14" i="5"/>
  <c r="A15" i="5" s="1"/>
  <c r="G14" i="5" s="1"/>
  <c r="AK15" i="5"/>
  <c r="AL15" i="5"/>
  <c r="AQ15" i="5"/>
  <c r="AR15" i="5"/>
  <c r="AK18" i="5"/>
  <c r="AL18" i="5"/>
  <c r="AQ18" i="5"/>
  <c r="AR18" i="5"/>
  <c r="AK19" i="5"/>
  <c r="AL19" i="5"/>
  <c r="AQ19" i="5"/>
  <c r="AR19" i="5"/>
  <c r="AK22" i="5"/>
  <c r="AL22" i="5"/>
  <c r="AQ22" i="5"/>
  <c r="AR22" i="5"/>
  <c r="AK23" i="5"/>
  <c r="AL23" i="5"/>
  <c r="AQ23" i="5"/>
  <c r="AR23" i="5"/>
  <c r="AR14" i="5"/>
  <c r="AQ14" i="5"/>
  <c r="AL14" i="5"/>
  <c r="AK14" i="5"/>
  <c r="AE15" i="5"/>
  <c r="AF15" i="5"/>
  <c r="AE18" i="5"/>
  <c r="AF18" i="5"/>
  <c r="AE19" i="5"/>
  <c r="AF19" i="5"/>
  <c r="AE22" i="5"/>
  <c r="AF22" i="5"/>
  <c r="AE23" i="5"/>
  <c r="AF23" i="5"/>
  <c r="AF14" i="5"/>
  <c r="AE14" i="5"/>
  <c r="Z15" i="5"/>
  <c r="Z18" i="5"/>
  <c r="Z19" i="5"/>
  <c r="Z22" i="5"/>
  <c r="Z23" i="5"/>
  <c r="Z14" i="5"/>
  <c r="Y15" i="5"/>
  <c r="Y18" i="5"/>
  <c r="Y19" i="5"/>
  <c r="Y22" i="5"/>
  <c r="Y23" i="5"/>
  <c r="Y24" i="5"/>
  <c r="J10" i="8" l="1"/>
  <c r="J47" i="8" s="1"/>
  <c r="P28" i="8"/>
  <c r="P52" i="8" s="1"/>
  <c r="V28" i="8"/>
  <c r="V52" i="8" s="1"/>
  <c r="S59" i="10"/>
  <c r="G60" i="10"/>
  <c r="S60" i="10"/>
  <c r="V29" i="8"/>
  <c r="V53" i="8" s="1"/>
  <c r="J9" i="8"/>
  <c r="J46" i="8" s="1"/>
  <c r="V27" i="8"/>
  <c r="V51" i="8" s="1"/>
  <c r="M59" i="10"/>
  <c r="G61" i="10"/>
  <c r="G121" i="41"/>
  <c r="M121" i="41"/>
  <c r="S121" i="41" s="1"/>
  <c r="E5" i="41" s="1"/>
  <c r="B100" i="45"/>
  <c r="N100" i="45" s="1"/>
  <c r="T100" i="45" s="1"/>
  <c r="N97" i="45"/>
  <c r="T97" i="45" s="1"/>
  <c r="H97" i="45"/>
  <c r="H46" i="39"/>
  <c r="N45" i="39" s="1"/>
  <c r="B46" i="39"/>
  <c r="H45" i="39"/>
  <c r="O37" i="37"/>
  <c r="O38" i="37" s="1"/>
  <c r="S37" i="37" s="1"/>
  <c r="J38" i="37"/>
  <c r="M17" i="28"/>
  <c r="M20" i="28" s="1"/>
  <c r="M21" i="28" s="1"/>
  <c r="M24" i="28" s="1"/>
  <c r="M20" i="19"/>
  <c r="S19" i="19" s="1"/>
  <c r="S20" i="19" s="1"/>
  <c r="M23" i="19" s="1"/>
  <c r="A35" i="23"/>
  <c r="E35" i="23" s="1"/>
  <c r="I35" i="23" s="1"/>
  <c r="A38" i="23" s="1"/>
  <c r="E38" i="23" s="1"/>
  <c r="I38" i="23" s="1"/>
  <c r="F5" i="23" s="1"/>
  <c r="U32" i="23"/>
  <c r="M35" i="23" s="1"/>
  <c r="Q35" i="23" s="1"/>
  <c r="U35" i="23" s="1"/>
  <c r="M38" i="23" s="1"/>
  <c r="Q38" i="23" s="1"/>
  <c r="U38" i="23" s="1"/>
  <c r="D9" i="8"/>
  <c r="O25" i="18"/>
  <c r="O20" i="18"/>
  <c r="N17" i="18"/>
  <c r="U24" i="18"/>
  <c r="U21" i="18"/>
  <c r="U17" i="18"/>
  <c r="U25" i="18"/>
  <c r="U20" i="18"/>
  <c r="T17" i="18"/>
  <c r="T20" i="18"/>
  <c r="T16" i="18"/>
  <c r="T24" i="18"/>
  <c r="T25" i="18"/>
  <c r="U16" i="18"/>
  <c r="T21" i="18"/>
  <c r="G39" i="13"/>
  <c r="G38" i="13"/>
  <c r="G40" i="13"/>
  <c r="G37" i="13"/>
  <c r="A38" i="13"/>
  <c r="A37" i="13"/>
  <c r="A23" i="13"/>
  <c r="A24" i="13" s="1"/>
  <c r="G23" i="13" s="1"/>
  <c r="G24" i="13" s="1"/>
  <c r="M18" i="13" s="1"/>
  <c r="M19" i="13" s="1"/>
  <c r="S18" i="13" s="1"/>
  <c r="S19" i="13" s="1"/>
  <c r="M22" i="13" s="1"/>
  <c r="S22" i="13" s="1"/>
  <c r="M25" i="13" s="1"/>
  <c r="S25" i="13" s="1"/>
  <c r="A40" i="13"/>
  <c r="A39" i="13"/>
  <c r="G59" i="10"/>
  <c r="G62" i="10"/>
  <c r="H30" i="10" s="1"/>
  <c r="B40" i="10" s="1"/>
  <c r="H44" i="10" s="1"/>
  <c r="T50" i="10" s="1"/>
  <c r="M60" i="10"/>
  <c r="P28" i="10" s="1"/>
  <c r="A59" i="10"/>
  <c r="B27" i="10" s="1"/>
  <c r="A61" i="10"/>
  <c r="A62" i="10"/>
  <c r="A60" i="10"/>
  <c r="S61" i="10"/>
  <c r="T29" i="10" s="1"/>
  <c r="I47" i="10" s="1"/>
  <c r="N51" i="10" s="1"/>
  <c r="M61" i="10"/>
  <c r="M62" i="10"/>
  <c r="V30" i="10"/>
  <c r="V28" i="10"/>
  <c r="V27" i="10"/>
  <c r="T30" i="10"/>
  <c r="B44" i="10" s="1"/>
  <c r="T52" i="10" s="1"/>
  <c r="T28" i="10"/>
  <c r="O40" i="10" s="1"/>
  <c r="N44" i="10" s="1"/>
  <c r="H52" i="10" s="1"/>
  <c r="T27" i="10"/>
  <c r="N27" i="10"/>
  <c r="N28" i="10"/>
  <c r="O41" i="10" s="1"/>
  <c r="O44" i="10" s="1"/>
  <c r="H53" i="10" s="1"/>
  <c r="P27" i="10"/>
  <c r="J29" i="10"/>
  <c r="J28" i="10"/>
  <c r="J27" i="10"/>
  <c r="H29" i="10"/>
  <c r="H28" i="10"/>
  <c r="N40" i="10" s="1"/>
  <c r="T44" i="10" s="1"/>
  <c r="H27" i="10"/>
  <c r="C47" i="10" s="1"/>
  <c r="N53" i="10" s="1"/>
  <c r="P35" i="9"/>
  <c r="P69" i="9" s="1"/>
  <c r="P38" i="9"/>
  <c r="P72" i="9" s="1"/>
  <c r="P36" i="9"/>
  <c r="P70" i="9" s="1"/>
  <c r="J36" i="9"/>
  <c r="J70" i="9" s="1"/>
  <c r="J35" i="9"/>
  <c r="J69" i="9" s="1"/>
  <c r="V36" i="9"/>
  <c r="V70" i="9" s="1"/>
  <c r="V38" i="9"/>
  <c r="V72" i="9" s="1"/>
  <c r="S72" i="9" s="1"/>
  <c r="P37" i="9"/>
  <c r="P71" i="9" s="1"/>
  <c r="J38" i="9"/>
  <c r="J72" i="9" s="1"/>
  <c r="J37" i="9"/>
  <c r="J71" i="9" s="1"/>
  <c r="D35" i="9"/>
  <c r="D69" i="9" s="1"/>
  <c r="D38" i="9"/>
  <c r="D72" i="9" s="1"/>
  <c r="D37" i="9"/>
  <c r="D71" i="9" s="1"/>
  <c r="D36" i="9"/>
  <c r="D70" i="9" s="1"/>
  <c r="D11" i="9"/>
  <c r="D66" i="9" s="1"/>
  <c r="D8" i="9"/>
  <c r="D63" i="9" s="1"/>
  <c r="D9" i="9"/>
  <c r="D64" i="9" s="1"/>
  <c r="J9" i="9"/>
  <c r="J64" i="9" s="1"/>
  <c r="P8" i="9"/>
  <c r="P63" i="9" s="1"/>
  <c r="P11" i="9"/>
  <c r="P66" i="9" s="1"/>
  <c r="P9" i="9"/>
  <c r="P64" i="9" s="1"/>
  <c r="V10" i="9"/>
  <c r="V65" i="9" s="1"/>
  <c r="V11" i="9"/>
  <c r="V66" i="9" s="1"/>
  <c r="V8" i="9"/>
  <c r="V63" i="9" s="1"/>
  <c r="V9" i="9"/>
  <c r="V64" i="9" s="1"/>
  <c r="J11" i="9"/>
  <c r="J66" i="9" s="1"/>
  <c r="D10" i="9"/>
  <c r="D65" i="9" s="1"/>
  <c r="P10" i="9"/>
  <c r="P65" i="9" s="1"/>
  <c r="J10" i="9"/>
  <c r="J65" i="9" s="1"/>
  <c r="J8" i="9"/>
  <c r="J63" i="9" s="1"/>
  <c r="S14" i="9"/>
  <c r="S52" i="8"/>
  <c r="S51" i="8"/>
  <c r="M52" i="8"/>
  <c r="J29" i="8"/>
  <c r="J53" i="8" s="1"/>
  <c r="J27" i="8"/>
  <c r="J51" i="8" s="1"/>
  <c r="S53" i="8"/>
  <c r="J28" i="8"/>
  <c r="J52" i="8" s="1"/>
  <c r="D29" i="8"/>
  <c r="D53" i="8" s="1"/>
  <c r="D28" i="8"/>
  <c r="D52" i="8" s="1"/>
  <c r="D51" i="8"/>
  <c r="M51" i="8"/>
  <c r="M53" i="8"/>
  <c r="D8" i="8"/>
  <c r="D45" i="8" s="1"/>
  <c r="D11" i="8"/>
  <c r="D48" i="8" s="1"/>
  <c r="J11" i="8"/>
  <c r="J48" i="8" s="1"/>
  <c r="J8" i="8"/>
  <c r="J45" i="8" s="1"/>
  <c r="G45" i="8" s="1"/>
  <c r="P10" i="8"/>
  <c r="P47" i="8" s="1"/>
  <c r="P8" i="8"/>
  <c r="P45" i="8" s="1"/>
  <c r="P9" i="8"/>
  <c r="P46" i="8" s="1"/>
  <c r="P11" i="8"/>
  <c r="P48" i="8" s="1"/>
  <c r="D10" i="8"/>
  <c r="D47" i="8" s="1"/>
  <c r="G14" i="8"/>
  <c r="G15" i="8" s="1"/>
  <c r="M14" i="8" s="1"/>
  <c r="M15" i="8" s="1"/>
  <c r="A18" i="8" s="1"/>
  <c r="A19" i="8" s="1"/>
  <c r="G18" i="8" s="1"/>
  <c r="G19" i="8" s="1"/>
  <c r="D46" i="8"/>
  <c r="D9" i="5"/>
  <c r="D35" i="5" s="1"/>
  <c r="D10" i="5"/>
  <c r="D36" i="5" s="1"/>
  <c r="D8" i="5"/>
  <c r="D34" i="5" s="1"/>
  <c r="D11" i="5"/>
  <c r="D37" i="5" s="1"/>
  <c r="P10" i="5"/>
  <c r="P36" i="5" s="1"/>
  <c r="G15" i="5"/>
  <c r="A18" i="5" s="1"/>
  <c r="A19" i="5" s="1"/>
  <c r="G18" i="5" s="1"/>
  <c r="G19" i="5" s="1"/>
  <c r="V9" i="5"/>
  <c r="V35" i="5" s="1"/>
  <c r="V8" i="5"/>
  <c r="V34" i="5" s="1"/>
  <c r="P8" i="5"/>
  <c r="P34" i="5" s="1"/>
  <c r="P9" i="5"/>
  <c r="P35" i="5" s="1"/>
  <c r="P11" i="5"/>
  <c r="P37" i="5" s="1"/>
  <c r="V11" i="5"/>
  <c r="V37" i="5" s="1"/>
  <c r="V10" i="5"/>
  <c r="V36" i="5" s="1"/>
  <c r="J11" i="5"/>
  <c r="J37" i="5" s="1"/>
  <c r="J8" i="5"/>
  <c r="J34" i="5" s="1"/>
  <c r="I23" i="5"/>
  <c r="H23" i="5"/>
  <c r="C23" i="5"/>
  <c r="B23" i="5"/>
  <c r="I22" i="5"/>
  <c r="H22" i="5"/>
  <c r="C22" i="5"/>
  <c r="B22" i="5"/>
  <c r="I19" i="5"/>
  <c r="H19" i="5"/>
  <c r="C19" i="5"/>
  <c r="B19" i="5"/>
  <c r="I18" i="5"/>
  <c r="H18" i="5"/>
  <c r="C18" i="5"/>
  <c r="B18" i="5"/>
  <c r="I15" i="5"/>
  <c r="H15" i="5"/>
  <c r="C15" i="5"/>
  <c r="B15" i="5"/>
  <c r="I14" i="5"/>
  <c r="H14" i="5"/>
  <c r="C14" i="5"/>
  <c r="V40" i="8" l="1"/>
  <c r="J30" i="10"/>
  <c r="S20" i="28"/>
  <c r="S21" i="28" s="1"/>
  <c r="H100" i="45"/>
  <c r="F5" i="45" s="1"/>
  <c r="N46" i="39"/>
  <c r="T45" i="39"/>
  <c r="T46" i="39" s="1"/>
  <c r="W37" i="37"/>
  <c r="W38" i="37" s="1"/>
  <c r="B41" i="37" s="1"/>
  <c r="S38" i="37"/>
  <c r="S24" i="28"/>
  <c r="S25" i="28" s="1"/>
  <c r="M25" i="28"/>
  <c r="M28" i="28" s="1"/>
  <c r="A23" i="19"/>
  <c r="A24" i="19" s="1"/>
  <c r="G23" i="19" s="1"/>
  <c r="G24" i="19" s="1"/>
  <c r="M24" i="19"/>
  <c r="S23" i="19" s="1"/>
  <c r="S24" i="19" s="1"/>
  <c r="A36" i="19" s="1"/>
  <c r="A37" i="19" s="1"/>
  <c r="G36" i="19" s="1"/>
  <c r="G37" i="19" s="1"/>
  <c r="E5" i="22"/>
  <c r="H47" i="10"/>
  <c r="N50" i="10" s="1"/>
  <c r="N36" i="10"/>
  <c r="N24" i="18"/>
  <c r="N20" i="18"/>
  <c r="N16" i="18"/>
  <c r="O16" i="18"/>
  <c r="N25" i="18"/>
  <c r="N21" i="18"/>
  <c r="O24" i="18"/>
  <c r="O21" i="18"/>
  <c r="O17" i="18"/>
  <c r="D28" i="13"/>
  <c r="J29" i="13"/>
  <c r="H31" i="13"/>
  <c r="T22" i="13" s="1"/>
  <c r="T28" i="13" s="1"/>
  <c r="B28" i="13"/>
  <c r="N25" i="13" s="1"/>
  <c r="N30" i="13" s="1"/>
  <c r="H30" i="13"/>
  <c r="O22" i="13" s="1"/>
  <c r="T31" i="13" s="1"/>
  <c r="H29" i="13"/>
  <c r="T25" i="13" s="1"/>
  <c r="N28" i="13" s="1"/>
  <c r="J31" i="13"/>
  <c r="B29" i="13"/>
  <c r="U25" i="13" s="1"/>
  <c r="N29" i="13" s="1"/>
  <c r="D31" i="13"/>
  <c r="D29" i="13"/>
  <c r="J30" i="13"/>
  <c r="H28" i="13"/>
  <c r="O25" i="13" s="1"/>
  <c r="N31" i="13" s="1"/>
  <c r="J28" i="13"/>
  <c r="D30" i="13"/>
  <c r="B30" i="13"/>
  <c r="N22" i="13" s="1"/>
  <c r="T30" i="13" s="1"/>
  <c r="B31" i="13"/>
  <c r="U22" i="13" s="1"/>
  <c r="T29" i="13" s="1"/>
  <c r="V29" i="10"/>
  <c r="N29" i="10"/>
  <c r="B47" i="10" s="1"/>
  <c r="N52" i="10" s="1"/>
  <c r="P29" i="10"/>
  <c r="P30" i="10"/>
  <c r="D27" i="10"/>
  <c r="D30" i="10"/>
  <c r="B30" i="10"/>
  <c r="D28" i="10"/>
  <c r="B28" i="10"/>
  <c r="D29" i="10"/>
  <c r="B29" i="10"/>
  <c r="B36" i="10" s="1"/>
  <c r="N30" i="10"/>
  <c r="C41" i="10" s="1"/>
  <c r="C44" i="10" s="1"/>
  <c r="T53" i="10" s="1"/>
  <c r="M71" i="9"/>
  <c r="M69" i="9"/>
  <c r="A69" i="9"/>
  <c r="M70" i="9"/>
  <c r="G71" i="9"/>
  <c r="M72" i="9"/>
  <c r="A70" i="9"/>
  <c r="S70" i="9"/>
  <c r="S69" i="9"/>
  <c r="G69" i="9"/>
  <c r="A71" i="9"/>
  <c r="G72" i="9"/>
  <c r="G70" i="9"/>
  <c r="A72" i="9"/>
  <c r="S71" i="9"/>
  <c r="S15" i="9"/>
  <c r="A18" i="9" s="1"/>
  <c r="A19" i="9" s="1"/>
  <c r="G18" i="9" s="1"/>
  <c r="G19" i="9" s="1"/>
  <c r="M18" i="9" s="1"/>
  <c r="M19" i="9" s="1"/>
  <c r="S18" i="9" s="1"/>
  <c r="S19" i="9" s="1"/>
  <c r="A22" i="9" s="1"/>
  <c r="A23" i="9" s="1"/>
  <c r="G22" i="9" s="1"/>
  <c r="G23" i="9" s="1"/>
  <c r="M22" i="9" s="1"/>
  <c r="M23" i="9" s="1"/>
  <c r="A63" i="9"/>
  <c r="A66" i="9"/>
  <c r="A65" i="9"/>
  <c r="G66" i="9"/>
  <c r="G64" i="9"/>
  <c r="S65" i="9"/>
  <c r="S64" i="9"/>
  <c r="S63" i="9"/>
  <c r="S66" i="9"/>
  <c r="M64" i="9"/>
  <c r="M66" i="9"/>
  <c r="A64" i="9"/>
  <c r="G65" i="9"/>
  <c r="G63" i="9"/>
  <c r="M65" i="9"/>
  <c r="M63" i="9"/>
  <c r="S37" i="5"/>
  <c r="M37" i="5"/>
  <c r="G48" i="8"/>
  <c r="V38" i="8"/>
  <c r="V39" i="8"/>
  <c r="G52" i="8"/>
  <c r="G51" i="8"/>
  <c r="G53" i="8"/>
  <c r="P39" i="8"/>
  <c r="P40" i="8"/>
  <c r="P38" i="8"/>
  <c r="A52" i="8"/>
  <c r="A51" i="8"/>
  <c r="D38" i="8" s="1"/>
  <c r="A53" i="8"/>
  <c r="G47" i="8"/>
  <c r="G46" i="8"/>
  <c r="V17" i="8" s="1"/>
  <c r="V14" i="8"/>
  <c r="T14" i="8"/>
  <c r="M47" i="8"/>
  <c r="M46" i="8"/>
  <c r="M48" i="8"/>
  <c r="M45" i="8"/>
  <c r="A47" i="8"/>
  <c r="A46" i="8"/>
  <c r="A48" i="8"/>
  <c r="A45" i="8"/>
  <c r="M18" i="8"/>
  <c r="M19" i="8" s="1"/>
  <c r="A22" i="8" s="1"/>
  <c r="A23" i="8" s="1"/>
  <c r="G22" i="8" s="1"/>
  <c r="G23" i="8" s="1"/>
  <c r="M22" i="8" s="1"/>
  <c r="M23" i="8" s="1"/>
  <c r="S34" i="5"/>
  <c r="S35" i="5"/>
  <c r="M35" i="5"/>
  <c r="S36" i="5"/>
  <c r="M34" i="5"/>
  <c r="M36" i="5"/>
  <c r="A37" i="5"/>
  <c r="A35" i="5"/>
  <c r="A36" i="5"/>
  <c r="A34" i="5"/>
  <c r="A22" i="5"/>
  <c r="A23" i="5" s="1"/>
  <c r="G22" i="5" s="1"/>
  <c r="G23" i="5" s="1"/>
  <c r="M14" i="5" s="1"/>
  <c r="J9" i="5"/>
  <c r="J35" i="5" s="1"/>
  <c r="J10" i="5"/>
  <c r="J36" i="5" s="1"/>
  <c r="V15" i="8" l="1"/>
  <c r="Z45" i="39"/>
  <c r="Z46" i="39" s="1"/>
  <c r="F41" i="37"/>
  <c r="F42" i="37" s="1"/>
  <c r="J41" i="37" s="1"/>
  <c r="B42" i="37"/>
  <c r="A32" i="8"/>
  <c r="G32" i="8" s="1"/>
  <c r="M32" i="8" s="1"/>
  <c r="S32" i="8" s="1"/>
  <c r="A33" i="8" s="1"/>
  <c r="G33" i="8" s="1"/>
  <c r="M33" i="8" s="1"/>
  <c r="S33" i="8" s="1"/>
  <c r="A34" i="8" s="1"/>
  <c r="G34" i="8" s="1"/>
  <c r="M34" i="8" s="1"/>
  <c r="S34" i="8" s="1"/>
  <c r="E5" i="8" s="1"/>
  <c r="S28" i="28"/>
  <c r="S29" i="28" s="1"/>
  <c r="M29" i="28"/>
  <c r="M32" i="28" s="1"/>
  <c r="S32" i="28" s="1"/>
  <c r="M36" i="19"/>
  <c r="M37" i="19" s="1"/>
  <c r="S36" i="19" s="1"/>
  <c r="S37" i="19" s="1"/>
  <c r="N41" i="10"/>
  <c r="U44" i="10" s="1"/>
  <c r="O37" i="10"/>
  <c r="B41" i="10"/>
  <c r="I44" i="10" s="1"/>
  <c r="T51" i="10" s="1"/>
  <c r="C37" i="10"/>
  <c r="V55" i="9"/>
  <c r="V56" i="9"/>
  <c r="V57" i="9"/>
  <c r="V54" i="9"/>
  <c r="D55" i="9"/>
  <c r="D56" i="9"/>
  <c r="D57" i="9"/>
  <c r="D54" i="9"/>
  <c r="J55" i="9"/>
  <c r="J56" i="9"/>
  <c r="J57" i="9"/>
  <c r="J54" i="9"/>
  <c r="P55" i="9"/>
  <c r="P56" i="9"/>
  <c r="P57" i="9"/>
  <c r="P54" i="9"/>
  <c r="D27" i="9"/>
  <c r="S22" i="9"/>
  <c r="S23" i="9" s="1"/>
  <c r="A41" i="9" s="1"/>
  <c r="A42" i="9" s="1"/>
  <c r="G41" i="9" s="1"/>
  <c r="G42" i="9" s="1"/>
  <c r="M41" i="9" s="1"/>
  <c r="M42" i="9" s="1"/>
  <c r="S41" i="9" s="1"/>
  <c r="S42" i="9" s="1"/>
  <c r="A45" i="9" s="1"/>
  <c r="A46" i="9" s="1"/>
  <c r="G45" i="9" s="1"/>
  <c r="G46" i="9" s="1"/>
  <c r="M45" i="9" s="1"/>
  <c r="M46" i="9" s="1"/>
  <c r="S45" i="9" s="1"/>
  <c r="S46" i="9" s="1"/>
  <c r="A49" i="9" s="1"/>
  <c r="A50" i="9" s="1"/>
  <c r="G49" i="9" s="1"/>
  <c r="G50" i="9" s="1"/>
  <c r="M49" i="9" s="1"/>
  <c r="M50" i="9" s="1"/>
  <c r="S49" i="9" s="1"/>
  <c r="S50" i="9" s="1"/>
  <c r="E5" i="9" s="1"/>
  <c r="B27" i="9"/>
  <c r="D30" i="9"/>
  <c r="B29" i="9"/>
  <c r="B28" i="9"/>
  <c r="D29" i="9"/>
  <c r="D28" i="9"/>
  <c r="B30" i="9"/>
  <c r="J28" i="9"/>
  <c r="H30" i="9"/>
  <c r="H28" i="9"/>
  <c r="H27" i="9"/>
  <c r="J29" i="9"/>
  <c r="H29" i="9"/>
  <c r="J30" i="9"/>
  <c r="J27" i="9"/>
  <c r="P28" i="9"/>
  <c r="N28" i="9"/>
  <c r="N30" i="9"/>
  <c r="P27" i="9"/>
  <c r="N27" i="9"/>
  <c r="P29" i="9"/>
  <c r="N29" i="9"/>
  <c r="P30" i="9"/>
  <c r="V28" i="9"/>
  <c r="T28" i="9"/>
  <c r="V29" i="9"/>
  <c r="T29" i="9"/>
  <c r="V30" i="9"/>
  <c r="V27" i="9"/>
  <c r="T27" i="9"/>
  <c r="T30" i="9"/>
  <c r="T17" i="8"/>
  <c r="J40" i="8"/>
  <c r="T15" i="8"/>
  <c r="J39" i="8"/>
  <c r="J38" i="8"/>
  <c r="D40" i="8"/>
  <c r="D39" i="8"/>
  <c r="T16" i="8"/>
  <c r="V16" i="8"/>
  <c r="V21" i="8"/>
  <c r="T21" i="8"/>
  <c r="V22" i="8"/>
  <c r="T22" i="8"/>
  <c r="V23" i="8"/>
  <c r="T23" i="8"/>
  <c r="V20" i="8"/>
  <c r="T20" i="8"/>
  <c r="V10" i="8"/>
  <c r="V11" i="8"/>
  <c r="V8" i="8"/>
  <c r="V9" i="8"/>
  <c r="T9" i="8"/>
  <c r="N27" i="8" s="1"/>
  <c r="T10" i="8"/>
  <c r="H27" i="8" s="1"/>
  <c r="T11" i="8"/>
  <c r="B27" i="8" s="1"/>
  <c r="T8" i="8"/>
  <c r="T27" i="8" s="1"/>
  <c r="N19" i="8"/>
  <c r="O22" i="8"/>
  <c r="O18" i="8"/>
  <c r="N22" i="8"/>
  <c r="G36" i="5"/>
  <c r="G35" i="5"/>
  <c r="G37" i="5"/>
  <c r="G34" i="5"/>
  <c r="V28" i="5"/>
  <c r="V29" i="5"/>
  <c r="V30" i="5"/>
  <c r="V27" i="5"/>
  <c r="P27" i="5"/>
  <c r="P29" i="5"/>
  <c r="P28" i="5"/>
  <c r="P30" i="5"/>
  <c r="M15" i="5"/>
  <c r="S14" i="5" s="1"/>
  <c r="S15" i="5" s="1"/>
  <c r="M18" i="5" s="1"/>
  <c r="M19" i="5" s="1"/>
  <c r="AF46" i="39" l="1"/>
  <c r="B49" i="39" s="1"/>
  <c r="AF45" i="39"/>
  <c r="O41" i="37"/>
  <c r="O42" i="37" s="1"/>
  <c r="S41" i="37" s="1"/>
  <c r="J42" i="37"/>
  <c r="M33" i="28"/>
  <c r="S33" i="28" s="1"/>
  <c r="E5" i="28" s="1"/>
  <c r="A40" i="19"/>
  <c r="A41" i="19" s="1"/>
  <c r="G40" i="19" s="1"/>
  <c r="G41" i="19" s="1"/>
  <c r="M40" i="19"/>
  <c r="B41" i="9"/>
  <c r="C46" i="9"/>
  <c r="T72" i="9"/>
  <c r="T57" i="9" s="1"/>
  <c r="U46" i="9"/>
  <c r="U49" i="9"/>
  <c r="U42" i="9"/>
  <c r="T71" i="9"/>
  <c r="T56" i="9" s="1"/>
  <c r="T42" i="9"/>
  <c r="U50" i="9"/>
  <c r="U45" i="9"/>
  <c r="H49" i="9"/>
  <c r="H69" i="9"/>
  <c r="H54" i="9" s="1"/>
  <c r="H41" i="9"/>
  <c r="H45" i="9"/>
  <c r="B71" i="9"/>
  <c r="B56" i="9" s="1"/>
  <c r="C50" i="9"/>
  <c r="C45" i="9"/>
  <c r="B42" i="9"/>
  <c r="T69" i="9"/>
  <c r="T54" i="9" s="1"/>
  <c r="T41" i="9"/>
  <c r="T49" i="9"/>
  <c r="T45" i="9"/>
  <c r="N71" i="9"/>
  <c r="N56" i="9" s="1"/>
  <c r="O45" i="9"/>
  <c r="N42" i="9"/>
  <c r="O50" i="9"/>
  <c r="N72" i="9"/>
  <c r="N57" i="9" s="1"/>
  <c r="O49" i="9"/>
  <c r="O42" i="9"/>
  <c r="O46" i="9"/>
  <c r="I41" i="9"/>
  <c r="H50" i="9"/>
  <c r="H70" i="9"/>
  <c r="H55" i="9" s="1"/>
  <c r="H46" i="9"/>
  <c r="T70" i="9"/>
  <c r="T55" i="9" s="1"/>
  <c r="U41" i="9"/>
  <c r="T50" i="9"/>
  <c r="T46" i="9"/>
  <c r="N46" i="9"/>
  <c r="O41" i="9"/>
  <c r="N70" i="9"/>
  <c r="N55" i="9" s="1"/>
  <c r="N50" i="9"/>
  <c r="I50" i="9"/>
  <c r="H42" i="9"/>
  <c r="H71" i="9"/>
  <c r="H56" i="9" s="1"/>
  <c r="I45" i="9"/>
  <c r="I46" i="9"/>
  <c r="I42" i="9"/>
  <c r="H72" i="9"/>
  <c r="H57" i="9" s="1"/>
  <c r="I49" i="9"/>
  <c r="B45" i="9"/>
  <c r="N49" i="9"/>
  <c r="N45" i="9"/>
  <c r="N69" i="9"/>
  <c r="N54" i="9" s="1"/>
  <c r="N41" i="9"/>
  <c r="B50" i="9"/>
  <c r="C41" i="9"/>
  <c r="B46" i="9"/>
  <c r="B70" i="9"/>
  <c r="B55" i="9" s="1"/>
  <c r="O19" i="8"/>
  <c r="O14" i="8"/>
  <c r="N23" i="8"/>
  <c r="O23" i="8"/>
  <c r="O15" i="8"/>
  <c r="N14" i="8"/>
  <c r="N18" i="8"/>
  <c r="N15" i="8"/>
  <c r="J28" i="5"/>
  <c r="J30" i="5"/>
  <c r="J27" i="5"/>
  <c r="J29" i="5"/>
  <c r="H28" i="5"/>
  <c r="H30" i="5"/>
  <c r="H27" i="5"/>
  <c r="H29" i="5"/>
  <c r="S18" i="5"/>
  <c r="S19" i="5" s="1"/>
  <c r="M22" i="5" s="1"/>
  <c r="M23" i="5" s="1"/>
  <c r="S22" i="5" s="1"/>
  <c r="S23" i="5" s="1"/>
  <c r="E5" i="5" s="1"/>
  <c r="H50" i="39" l="1"/>
  <c r="N49" i="39" s="1"/>
  <c r="B50" i="39"/>
  <c r="H49" i="39"/>
  <c r="W41" i="37"/>
  <c r="W42" i="37" s="1"/>
  <c r="G5" i="37" s="1"/>
  <c r="S42" i="37"/>
  <c r="M41" i="19"/>
  <c r="S40" i="19" s="1"/>
  <c r="S41" i="19" s="1"/>
  <c r="A44" i="19" s="1"/>
  <c r="A45" i="19" s="1"/>
  <c r="G44" i="19" s="1"/>
  <c r="G45" i="19" s="1"/>
  <c r="B69" i="9"/>
  <c r="B54" i="9" s="1"/>
  <c r="C42" i="9"/>
  <c r="B49" i="9"/>
  <c r="C49" i="9"/>
  <c r="B72" i="9"/>
  <c r="B57" i="9" s="1"/>
  <c r="T35" i="5"/>
  <c r="T28" i="5" s="1"/>
  <c r="N37" i="5"/>
  <c r="N30" i="5" s="1"/>
  <c r="N35" i="5"/>
  <c r="N28" i="5" s="1"/>
  <c r="U19" i="5"/>
  <c r="E5" i="13"/>
  <c r="N33" i="8"/>
  <c r="N51" i="8"/>
  <c r="N38" i="8" s="1"/>
  <c r="U32" i="8"/>
  <c r="T52" i="8"/>
  <c r="T39" i="8" s="1"/>
  <c r="I32" i="8"/>
  <c r="H52" i="8"/>
  <c r="H39" i="8" s="1"/>
  <c r="C32" i="8"/>
  <c r="B52" i="8"/>
  <c r="B39" i="8" s="1"/>
  <c r="C34" i="8"/>
  <c r="B53" i="8"/>
  <c r="B40" i="8" s="1"/>
  <c r="I34" i="8"/>
  <c r="H53" i="8"/>
  <c r="H40" i="8" s="1"/>
  <c r="U33" i="8"/>
  <c r="T53" i="8"/>
  <c r="T40" i="8" s="1"/>
  <c r="O33" i="8"/>
  <c r="N53" i="8"/>
  <c r="N40" i="8" s="1"/>
  <c r="O32" i="8"/>
  <c r="N52" i="8"/>
  <c r="N39" i="8" s="1"/>
  <c r="I33" i="8"/>
  <c r="B34" i="8"/>
  <c r="N34" i="8"/>
  <c r="T34" i="8"/>
  <c r="U34" i="8"/>
  <c r="C33" i="8"/>
  <c r="H34" i="8"/>
  <c r="O34" i="8"/>
  <c r="N32" i="8"/>
  <c r="T19" i="5"/>
  <c r="O22" i="5"/>
  <c r="O15" i="5"/>
  <c r="O19" i="5"/>
  <c r="D27" i="5"/>
  <c r="B27" i="5"/>
  <c r="T49" i="39" l="1"/>
  <c r="N50" i="39"/>
  <c r="T50" i="39"/>
  <c r="Z49" i="39" s="1"/>
  <c r="M44" i="19"/>
  <c r="M45" i="19" s="1"/>
  <c r="S44" i="19" s="1"/>
  <c r="S45" i="19" s="1"/>
  <c r="E5" i="19" s="1"/>
  <c r="U22" i="5"/>
  <c r="T23" i="5"/>
  <c r="U14" i="5"/>
  <c r="N23" i="5"/>
  <c r="T37" i="5"/>
  <c r="T30" i="5" s="1"/>
  <c r="U15" i="5"/>
  <c r="N19" i="5"/>
  <c r="O14" i="5"/>
  <c r="H32" i="8"/>
  <c r="H51" i="8"/>
  <c r="H38" i="8" s="1"/>
  <c r="T33" i="8"/>
  <c r="T51" i="8"/>
  <c r="T38" i="8" s="1"/>
  <c r="B33" i="8"/>
  <c r="B51" i="8"/>
  <c r="B38" i="8" s="1"/>
  <c r="T32" i="8"/>
  <c r="H33" i="8"/>
  <c r="B32" i="8"/>
  <c r="D29" i="5"/>
  <c r="B29" i="5"/>
  <c r="T34" i="5" s="1"/>
  <c r="T27" i="5" s="1"/>
  <c r="AF50" i="39" l="1"/>
  <c r="F5" i="39" s="1"/>
  <c r="AF49" i="39"/>
  <c r="Z50" i="39"/>
  <c r="T22" i="5"/>
  <c r="T18" i="5"/>
  <c r="T14" i="5"/>
  <c r="N34" i="5"/>
  <c r="N27" i="5" s="1"/>
  <c r="N14" i="5"/>
  <c r="N18" i="5"/>
  <c r="N22" i="5"/>
  <c r="D30" i="5"/>
  <c r="D28" i="5"/>
  <c r="B30" i="5"/>
  <c r="B28" i="5"/>
  <c r="T36" i="5" l="1"/>
  <c r="T29" i="5" s="1"/>
  <c r="O18" i="5"/>
  <c r="N36" i="5"/>
  <c r="N29" i="5" s="1"/>
  <c r="N15" i="5"/>
  <c r="O23" i="5"/>
  <c r="U23" i="5" l="1"/>
  <c r="T15" i="5"/>
  <c r="U18" i="5"/>
  <c r="E144" i="45"/>
  <c r="B144" i="45" s="1"/>
  <c r="B143" i="45" l="1"/>
  <c r="B145" i="45"/>
  <c r="B142" i="45"/>
  <c r="E55" i="45" l="1"/>
  <c r="E56" i="45"/>
  <c r="E57" i="45"/>
  <c r="E54" i="45"/>
  <c r="C55" i="45"/>
  <c r="C56" i="45"/>
  <c r="C54" i="45"/>
  <c r="C57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03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0C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0D00-000001000000}">
      <text>
        <r>
          <rPr>
            <i/>
            <sz val="8"/>
            <color indexed="81"/>
            <rFont val="Tahoma"/>
            <family val="2"/>
          </rPr>
          <t>Clic droit sur le logo pour modifier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V1" authorId="0" shapeId="0" xr:uid="{00000000-0006-0000-0E00-000001000000}">
      <text>
        <r>
          <rPr>
            <i/>
            <sz val="8"/>
            <color indexed="81"/>
            <rFont val="Tahoma"/>
            <family val="2"/>
          </rPr>
          <t>Clic droit sur le logo  pour le modifier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0F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V1" authorId="0" shapeId="0" xr:uid="{00000000-0006-0000-10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11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12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13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1400-000001000000}">
      <text>
        <r>
          <rPr>
            <i/>
            <sz val="8"/>
            <color indexed="81"/>
            <rFont val="Tahoma"/>
            <family val="2"/>
          </rPr>
          <t>Clic droit sur le ogo pour le modifier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15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  <comment ref="J34" authorId="0" shapeId="0" xr:uid="{00000000-0006-0000-1500-000002000000}">
      <text>
        <r>
          <rPr>
            <i/>
            <sz val="9"/>
            <color indexed="81"/>
            <rFont val="Tahoma"/>
            <family val="2"/>
          </rPr>
          <t>Définir la durée des matchs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04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  <comment ref="J33" authorId="0" shapeId="0" xr:uid="{00000000-0006-0000-0400-000002000000}">
      <text>
        <r>
          <rPr>
            <i/>
            <sz val="9"/>
            <color indexed="81"/>
            <rFont val="Tahoma"/>
            <family val="2"/>
          </rPr>
          <t>Définir la durée des matchs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16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17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18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AH1" authorId="0" shapeId="0" xr:uid="{00000000-0006-0000-19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AH1" authorId="0" shapeId="0" xr:uid="{00000000-0006-0000-1A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X1" authorId="0" shapeId="0" xr:uid="{00000000-0006-0000-1B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V1" authorId="0" shapeId="0" xr:uid="{00000000-0006-0000-1C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  <comment ref="K61" authorId="0" shapeId="0" xr:uid="{00000000-0006-0000-1C00-000002000000}">
      <text>
        <r>
          <rPr>
            <i/>
            <sz val="9"/>
            <color indexed="81"/>
            <rFont val="Tahoma"/>
            <family val="2"/>
          </rPr>
          <t>Définir la durée des matchs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1D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1E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1F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05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20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06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0700-000001000000}">
      <text>
        <r>
          <rPr>
            <i/>
            <sz val="8"/>
            <color indexed="81"/>
            <rFont val="Tahoma"/>
            <family val="2"/>
          </rPr>
          <t>Clic droit sur le ogo pour le modifier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08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09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U1" authorId="0" shapeId="0" xr:uid="{00000000-0006-0000-0A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 JEROME</author>
  </authors>
  <commentList>
    <comment ref="K1" authorId="0" shapeId="0" xr:uid="{00000000-0006-0000-0B00-000001000000}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sharedStrings.xml><?xml version="1.0" encoding="utf-8"?>
<sst xmlns="http://schemas.openxmlformats.org/spreadsheetml/2006/main" count="4008" uniqueCount="350">
  <si>
    <t>3 poules de 4 - Poules de brassage puis poules de niveau</t>
  </si>
  <si>
    <t>Groupe A</t>
  </si>
  <si>
    <t>Groupe B</t>
  </si>
  <si>
    <t>Groupe C</t>
  </si>
  <si>
    <t>Groupe D</t>
  </si>
  <si>
    <t>Match 1</t>
  </si>
  <si>
    <t>Match 2</t>
  </si>
  <si>
    <t>Match 3</t>
  </si>
  <si>
    <t>Match 4 et 5</t>
  </si>
  <si>
    <t>2 poules de 4 - Poules de brassage puis poules de niveau</t>
  </si>
  <si>
    <t>Match 4</t>
  </si>
  <si>
    <t>Match 5</t>
  </si>
  <si>
    <t>Match 6</t>
  </si>
  <si>
    <t>4 poules de 4 - Poules de brassage puis poules de niveau</t>
  </si>
  <si>
    <t>Classement 1ere phase</t>
  </si>
  <si>
    <t>Pts</t>
  </si>
  <si>
    <t>Score</t>
  </si>
  <si>
    <t>minutes</t>
  </si>
  <si>
    <t xml:space="preserve">Matchs de </t>
  </si>
  <si>
    <t>POULES DE BRASSAGE -</t>
  </si>
  <si>
    <t>POULES DE NIVEAU -</t>
  </si>
  <si>
    <t>Place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</si>
  <si>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</si>
  <si>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</si>
  <si>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</si>
  <si>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</si>
  <si>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</si>
  <si>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</si>
  <si>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</si>
  <si>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</si>
  <si>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Poule Basse</t>
  </si>
  <si>
    <t>Poule Haute</t>
  </si>
  <si>
    <t xml:space="preserve">Durée totale des rencontres : </t>
  </si>
  <si>
    <t>de pratique par équipe</t>
  </si>
  <si>
    <t>Equipes départagées au goal average général en cas d'égalité</t>
  </si>
  <si>
    <t>POULES DE BRASSAGE      -</t>
  </si>
  <si>
    <t>POULES DE NIVEAUX      -</t>
  </si>
  <si>
    <t>Equipe 9</t>
  </si>
  <si>
    <t>Equipe 10</t>
  </si>
  <si>
    <t>Equipe 11</t>
  </si>
  <si>
    <t>Equipe 12</t>
  </si>
  <si>
    <t>Poule A</t>
  </si>
  <si>
    <t>Poule B</t>
  </si>
  <si>
    <t>Poule C</t>
  </si>
  <si>
    <t>Poule des 3èmes</t>
  </si>
  <si>
    <t>Poule des 2èmes</t>
  </si>
  <si>
    <t>Poule des 1ers</t>
  </si>
  <si>
    <t>CLASSEMENT FINAL</t>
  </si>
  <si>
    <t>Poule des 4èmes</t>
  </si>
  <si>
    <t>CLASSEMENT BRASSAGES</t>
  </si>
  <si>
    <t>Poules des 3èmes</t>
  </si>
  <si>
    <r>
      <t>Durée</t>
    </r>
    <r>
      <rPr>
        <b/>
        <sz val="12"/>
        <color theme="1"/>
        <rFont val="Calibri"/>
        <family val="2"/>
        <scheme val="minor"/>
      </rPr>
      <t xml:space="preserve"> : Journée</t>
    </r>
  </si>
  <si>
    <r>
      <t xml:space="preserve">Heure de début </t>
    </r>
    <r>
      <rPr>
        <i/>
        <sz val="12"/>
        <color theme="1"/>
        <rFont val="Calibri"/>
        <family val="2"/>
        <scheme val="minor"/>
      </rPr>
      <t>(format hh:mm)</t>
    </r>
    <r>
      <rPr>
        <sz val="12"/>
        <color theme="1"/>
        <rFont val="Calibri"/>
        <family val="2"/>
        <scheme val="minor"/>
      </rPr>
      <t xml:space="preserve"> : </t>
    </r>
  </si>
  <si>
    <t>5 Matchs par équipe</t>
  </si>
  <si>
    <t>6 Matchs par équipe</t>
  </si>
  <si>
    <t>Poule D</t>
  </si>
  <si>
    <t>Equipe 13</t>
  </si>
  <si>
    <t>Equipe 14</t>
  </si>
  <si>
    <t>Equipe 15</t>
  </si>
  <si>
    <t>Equipe 16</t>
  </si>
  <si>
    <t>CLASSEMENT 1ERE PHASE</t>
  </si>
  <si>
    <t>POULES DE NIVEAU      -</t>
  </si>
  <si>
    <t>4èmes</t>
  </si>
  <si>
    <t>3èmes</t>
  </si>
  <si>
    <t>2èmes</t>
  </si>
  <si>
    <t>1ers</t>
  </si>
  <si>
    <t>1/2 finale</t>
  </si>
  <si>
    <t>Match Place 3-4</t>
  </si>
  <si>
    <t xml:space="preserve">Matchs Place 5-6 </t>
  </si>
  <si>
    <t>1/4 de finale</t>
  </si>
  <si>
    <t>Matchs de classement</t>
  </si>
  <si>
    <t>Match Place 7-8</t>
  </si>
  <si>
    <t>Finale</t>
  </si>
  <si>
    <t>Match Place 5-6</t>
  </si>
  <si>
    <t>Tournoi Complémentaire</t>
  </si>
  <si>
    <t>Tournoi Principal</t>
  </si>
  <si>
    <t>PHASES ELIMINATOIRES      -</t>
  </si>
  <si>
    <t>2 poules de 4 - Poules de brassage puis Phases éliminatoires</t>
  </si>
  <si>
    <t>PHASE ELIMINATOIRE       -</t>
  </si>
  <si>
    <t xml:space="preserve">Durée de la pause : </t>
  </si>
  <si>
    <t>TOURNOI FUTSAL A 8 EQUIPES - A PARTIR DE U13</t>
  </si>
  <si>
    <t>TOURNOI FUTSAL A 8 EQUIPES - A PARTIR DES U11</t>
  </si>
  <si>
    <t>PHASE 1      -</t>
  </si>
  <si>
    <t>PHASE 2      -</t>
  </si>
  <si>
    <t>PHASE 1</t>
  </si>
  <si>
    <t>PHASE 1 -</t>
  </si>
  <si>
    <t>PHASE 2 -</t>
  </si>
  <si>
    <t>TERRAIN 1</t>
  </si>
  <si>
    <t>TERRAIN 2</t>
  </si>
  <si>
    <t>PHASE 1                 -</t>
  </si>
  <si>
    <t>PHASE 2                 -</t>
  </si>
  <si>
    <t>Poule E</t>
  </si>
  <si>
    <t>Poule F</t>
  </si>
  <si>
    <t>Equipe 17</t>
  </si>
  <si>
    <t>Equipe 18</t>
  </si>
  <si>
    <t>Equipe 19</t>
  </si>
  <si>
    <t>Equipe 20</t>
  </si>
  <si>
    <t>Equipe 21</t>
  </si>
  <si>
    <t>Equipe 22</t>
  </si>
  <si>
    <t>Equipe 23</t>
  </si>
  <si>
    <t>Equipe 24</t>
  </si>
  <si>
    <t>TOURNOI FUTSAL A 16 EQUIPES - A PARTIR DE U13</t>
  </si>
  <si>
    <t>Catégorie</t>
  </si>
  <si>
    <t>U7</t>
  </si>
  <si>
    <t>U9</t>
  </si>
  <si>
    <t>U11</t>
  </si>
  <si>
    <t>8 équipes</t>
  </si>
  <si>
    <t>12 équipes</t>
  </si>
  <si>
    <t>16 équipes</t>
  </si>
  <si>
    <t>24 équipes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</si>
  <si>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</si>
  <si>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</si>
  <si>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</si>
  <si>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</si>
  <si>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</si>
  <si>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</si>
  <si>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</si>
  <si>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</si>
  <si>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</si>
  <si>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</si>
  <si>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PHASE 2</t>
  </si>
  <si>
    <t>CAHIER DES CHARGES DES TOURNOIS - DISTRICT DE LYON ET DU RHONE DE FOOTBALL
TOURNOIS EXTERIEURS</t>
  </si>
  <si>
    <t>U13</t>
  </si>
  <si>
    <t>Forme de pratique</t>
  </si>
  <si>
    <t>Foot à 4</t>
  </si>
  <si>
    <t>Foot à 5</t>
  </si>
  <si>
    <t>Foot à 8 (HJ aux 13m)</t>
  </si>
  <si>
    <t>Foot à 8 (HJ à la médiane)</t>
  </si>
  <si>
    <t>Terrain</t>
  </si>
  <si>
    <t>20 x 30m</t>
  </si>
  <si>
    <t>25 x 35m</t>
  </si>
  <si>
    <t>1/2 terrain à 11</t>
  </si>
  <si>
    <t>Dimensions des cages</t>
  </si>
  <si>
    <t>4 x 1,5m (jalons)</t>
  </si>
  <si>
    <t>6 x 2,10m</t>
  </si>
  <si>
    <t>Taille du ballon</t>
  </si>
  <si>
    <t>T3</t>
  </si>
  <si>
    <t>T4</t>
  </si>
  <si>
    <t>Arbitrage</t>
  </si>
  <si>
    <t>Auto Arbitrage
Régulation de la part des éducateurs</t>
  </si>
  <si>
    <t>Arbitrage de jeunes arbitres
(Demander à la CDA)</t>
  </si>
  <si>
    <t>Arbitrage de jeunes arbitres (Demande CDA)
Rôle d'assistant par les remplaçants</t>
  </si>
  <si>
    <t>1,5x le temps de pratique
soit 1,5 x 40 = 60'</t>
  </si>
  <si>
    <t>1,5x le temps de pratique
soit 1,5 x 50 = 75'</t>
  </si>
  <si>
    <t>1,5x le temps de pratique
soit 1,5 x 60 = 90'</t>
  </si>
  <si>
    <t>Résultats</t>
  </si>
  <si>
    <t>Lois du jeu</t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</si>
  <si>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zone des 8m
Relance volée ou 1/2 volée interdite
Relance protégée dans la zone des 8m
Touches au pied avec possibilité de rentrer en conduite de balle
Tacles interdits (sanction = CFD)</t>
    </r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</si>
  <si>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zone des 8m
Relance volée ou 1/2 volée interdite
Relance protégée dans la zone des 8m
Touches au pied avec possibilité de rentrer en conduite de balle</t>
    </r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</si>
  <si>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surface
Relance volée ou 1/2 volée interdite
Prise de balle à la main interdite sur passe volontaire d'un partenaire
HJ à hauteur de la surface (13m)</t>
    </r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</si>
  <si>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surface
Relance volée ou 1/2 volée interdite
Prise de balle à la main interdite sur passe volontaire d'un partenaire
HJ à la médiane
Temps de rotation à la moitié de chaque mi temps</t>
    </r>
  </si>
  <si>
    <t>CAHIER DES CHARGES DES TOURNOIS - DISTRICT DE LYON ET DU RHONE DE FOOTBALL
TOURNOIS FUTSAL</t>
  </si>
  <si>
    <r>
      <t xml:space="preserve">Foot à 4 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Foot à 5</t>
    </r>
  </si>
  <si>
    <t>1/2 terrain de handball</t>
  </si>
  <si>
    <r>
      <t xml:space="preserve">1/2 terrain de handball 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
terrain de handball</t>
    </r>
  </si>
  <si>
    <t>Terrain de handball</t>
  </si>
  <si>
    <t>3 x 1,5m (jalons)</t>
  </si>
  <si>
    <r>
      <t xml:space="preserve">3 x 1,5m (jalons) 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
Cages de handball</t>
    </r>
  </si>
  <si>
    <t>Cages de handball</t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</si>
  <si>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zone des 4m
Relance volée ou 1/2 volée interdite
Relance protégée dans la zone des 4m
Touches au pied avec possibilité de rentrer en conduite de balle
Tacles interdits (sanction = CFD)
4" pour jouer chaque remise en jeu</t>
    </r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</si>
  <si>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surface
Relance volée ou 1/2 volée interdite
Relance protégée dans la zone des 4m ou 6m
Touches au pied avec possibilité de rentrer en conduite de balle
Tacles interdits (sanction = CFD)
4" pour jouer chaque remise en jeu</t>
    </r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</si>
  <si>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du gardien à la main depuis la surface
Relance volée ou 1/2 volée interdite
Le gardien ne peut retoucher le ballon dans sa propre moitié de terrain avant qu'il soit touché par un adversaire
Prise de balle à la main interdite sur passe volontaire d'un partenaire
4" pour jouer chaque remise en jeu
Pas de hors jeu
Cumul des fautes : la 4ème faute est sanctionnée d'un coup de pied de réparation à 10m</t>
    </r>
  </si>
  <si>
    <t>10 équipes</t>
  </si>
  <si>
    <t>TOURNOI FUTSAL A 10 EQUIPES - A PARTIR DES U11</t>
  </si>
  <si>
    <t>2 poules de 5 - Poules de brassage puis poules de niveau</t>
  </si>
  <si>
    <t>Match 7</t>
  </si>
  <si>
    <t>Match 8</t>
  </si>
  <si>
    <t>8 Matchs par équipe</t>
  </si>
  <si>
    <t>Page 14</t>
  </si>
  <si>
    <r>
      <t>Durée</t>
    </r>
    <r>
      <rPr>
        <b/>
        <sz val="12"/>
        <color theme="1"/>
        <rFont val="Calibri"/>
        <family val="2"/>
        <scheme val="minor"/>
      </rPr>
      <t xml:space="preserve"> : 1/2 Journée</t>
    </r>
  </si>
  <si>
    <t>Page 15</t>
  </si>
  <si>
    <t>Page 16</t>
  </si>
  <si>
    <t>Page 17</t>
  </si>
  <si>
    <t>6 poules de 4 avec une 2ème phase (brassage des poules sans prendre en compte les résultats)</t>
  </si>
  <si>
    <t>4 poules de 4 avec une 2ème phase (brassage des poules sans prendre en compte les résultats)</t>
  </si>
  <si>
    <t>TOURNOI FUTSAL A 24 EQUIPES - U7 ou U9 sur 1/2 terrain</t>
  </si>
  <si>
    <t>TOURNOI FUTSAL A 16 EQUIPES - U7 ou U9 sur 1/2 terrain</t>
  </si>
  <si>
    <r>
      <t>Durée</t>
    </r>
    <r>
      <rPr>
        <b/>
        <sz val="12"/>
        <color theme="1"/>
        <rFont val="Calibri"/>
        <family val="2"/>
        <scheme val="minor"/>
      </rPr>
      <t xml:space="preserve"> : Journée ou 1/2 journée</t>
    </r>
  </si>
  <si>
    <t>TOURNOI FUTSAL A 12 EQUIPES - U7 ou U9 sur 1/2 terrain</t>
  </si>
  <si>
    <t>3 poules de 4 avec une 2ème phase (brassage des poules sans prendre en compte les résultats)</t>
  </si>
  <si>
    <t>2 poules de 5 avec une 2ème phase (brassage des poules sans prendre en compte les résultats)</t>
  </si>
  <si>
    <t>TOURNOI FUTSAL A 10 EQUIPES - U7 ou U9 sur 1/2 terrain</t>
  </si>
  <si>
    <t>TOURNOI FUTSAL A 8 EQUIPES - U7 ou U9 sur 1/2 terrain</t>
  </si>
  <si>
    <t>2 poules de 4 avec une 2ème phase (brassage des poules sans prendre en compte les résultats)</t>
  </si>
  <si>
    <t>3 poules de 4 avec une 2ème phase (brassage sans prendre en compte les résultats)</t>
  </si>
  <si>
    <t>TOURNOI FUTSAL A 12 EQUIPES - U9 (5vs5 terrain complet)</t>
  </si>
  <si>
    <t>TOURNOI FUTSAL A 10 EQUIPES - U9 (5vs5 terrain complet)</t>
  </si>
  <si>
    <t>2 poules de 5 avec une 2ème phase (brassage sans prendre en compte les résultats)</t>
  </si>
  <si>
    <t>TOURNOI FUTSAL A 8 EQUIPES - U9 (5vs5 terrain complet)</t>
  </si>
  <si>
    <r>
      <t>Durée</t>
    </r>
    <r>
      <rPr>
        <b/>
        <sz val="12"/>
        <color theme="1"/>
        <rFont val="Calibri"/>
        <family val="2"/>
        <scheme val="minor"/>
      </rPr>
      <t xml:space="preserve"> : 1/2 journée</t>
    </r>
  </si>
  <si>
    <t>2 poules de 4 avec une 2ème phase (brassage sans prendre en compte les résultats)</t>
  </si>
  <si>
    <t>TOURNOI FUTSAL A 16 EQUIPES - U11 OU U13</t>
  </si>
  <si>
    <t>TOURNOI FUTSAL A 12 EQUIPES - U11 OU U13</t>
  </si>
  <si>
    <t>4 poules de 4 - Poules de brassage puis Phases éliminatoires (Tournoi principal et complémentaire)</t>
  </si>
  <si>
    <t>A partir des U13</t>
  </si>
  <si>
    <t>Impossible sur 1 seul terrain</t>
  </si>
  <si>
    <t>Type</t>
  </si>
  <si>
    <t>Poules de brassage puis 2ème phase éliminatoire</t>
  </si>
  <si>
    <t>Poules de brassage puis 2ème phase avec des poules de niveau</t>
  </si>
  <si>
    <t>2 phases de poules sans tenir compte des résultats</t>
  </si>
  <si>
    <t>TOURNOIS FUTSAL</t>
  </si>
  <si>
    <t>TOURNOIS EXTERIEUR</t>
  </si>
  <si>
    <t>ORGANISATION TYPE DES TOURNOIS</t>
  </si>
  <si>
    <t>Cahier des charges (Page 3)</t>
  </si>
  <si>
    <t>Cahier des charges (Page 2)</t>
  </si>
  <si>
    <t>Temps maximum de la pratique</t>
  </si>
  <si>
    <t>Classement autorisé
Rencontres éliminatoires NON autorisées</t>
  </si>
  <si>
    <t>Classement autorisé
Rencontres éliminatoires autorisées</t>
  </si>
  <si>
    <t>Toutes les équipes font le même nombre de matchs</t>
  </si>
  <si>
    <t>Organisations préconisées</t>
  </si>
  <si>
    <t>T4 (adultes)</t>
  </si>
  <si>
    <t>T3 (enfants)</t>
  </si>
  <si>
    <r>
      <t xml:space="preserve">T3 (enfants) 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T4 (adultes)</t>
    </r>
  </si>
  <si>
    <t>U9 (4vs4)
1/2 terrain</t>
  </si>
  <si>
    <t>U7 (4vs4)
1/2 terrain</t>
  </si>
  <si>
    <t>U9 (5vs5)
terrain complet</t>
  </si>
  <si>
    <t>Page 2</t>
  </si>
  <si>
    <t>Page 3</t>
  </si>
  <si>
    <t>COMMENT UTILISER LES ORGANISATIONS "CLE EN MAIN"</t>
  </si>
  <si>
    <t>Organisation des phases par poules
Pas de classement et de matchs éliminatoires
Pas plus d'1h d'attente entre les matchs</t>
  </si>
  <si>
    <t>TOURNOI FUTSAL A 16 EQUIPES - U9</t>
  </si>
  <si>
    <t>2EME PHASE      -</t>
  </si>
  <si>
    <t>Page 18</t>
  </si>
  <si>
    <t>Autorisation particulière</t>
  </si>
  <si>
    <t>Pas de classement</t>
  </si>
  <si>
    <r>
      <t xml:space="preserve">Poules de brassage puis poules par niveau
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Formule Echiquier 
Pas plus d'1h30 d'attente entre les matchs</t>
    </r>
  </si>
  <si>
    <r>
      <t xml:space="preserve">Poules de brassage puis de niveaux 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
Poules de brassage puis 1/4, 1/2 , finale (+ matchs de classements)
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Formule Echiquier
Pas plus d'1h30 d'attente entre les matchs</t>
    </r>
  </si>
  <si>
    <t>Festi Foot ou Festi Animation
Pas de classement et de matchs éliminatoires
Pas plus d'1h d'attente entre les matchs</t>
  </si>
  <si>
    <t>Match 9</t>
  </si>
  <si>
    <t>Match 10</t>
  </si>
  <si>
    <t>Possibilité d'organiser un tournoi U9 à 8
à partir du 1er juin
Seul les U9 sont autorisés et pas les U8</t>
  </si>
  <si>
    <t>Possibilité d'organiser un tournoi U13 à 11
à partir du 1er juin
Seul les U13 sont autorisés et pas les U12</t>
  </si>
  <si>
    <t>32 équipes</t>
  </si>
  <si>
    <t>Page 19</t>
  </si>
  <si>
    <t>Page 20</t>
  </si>
  <si>
    <t>Page 21</t>
  </si>
  <si>
    <t>Page 22</t>
  </si>
  <si>
    <t>Page 23</t>
  </si>
  <si>
    <t>Page 24</t>
  </si>
  <si>
    <t>Page 25</t>
  </si>
  <si>
    <t>Page 26</t>
  </si>
  <si>
    <t>TOURNOI A 8 EQUIPES - 1 TERRAIN - A PARTIR DE U13</t>
  </si>
  <si>
    <t xml:space="preserve">Durée de battement : </t>
  </si>
  <si>
    <t>TOURNOI A 8 EQUIPES - 1 TERRAIN - A PARTIR DES U11</t>
  </si>
  <si>
    <t>Durée de battement :</t>
  </si>
  <si>
    <t>TOURNOI A 12 EQUIPES - 2 TERRAINS - A PARTIR DES U11</t>
  </si>
  <si>
    <t>TOURNOI A 16 EQUIPES - 2 TERRAINS - A PARTIR DE U13</t>
  </si>
  <si>
    <t>Tournoi Complémentaire - TERRAIN 1</t>
  </si>
  <si>
    <t>Tournoi Principal - TERRAIN 2</t>
  </si>
  <si>
    <t>TOURNOI A 16 EQUIPES - 2 TERRAINS - A PARTIR DES U11</t>
  </si>
  <si>
    <t>TERRAIN 3</t>
  </si>
  <si>
    <t>TERRAIN 4</t>
  </si>
  <si>
    <t>TOURNOI A 24 EQUIPES - 4 TERRAINS - U7 ou U9</t>
  </si>
  <si>
    <t>terrain</t>
  </si>
  <si>
    <t>Page 27</t>
  </si>
  <si>
    <t>6 poules de 4 - Poules de brassage puis poules de niveau</t>
  </si>
  <si>
    <t>Groupe E</t>
  </si>
  <si>
    <t>Groupe F</t>
  </si>
  <si>
    <t>Page 18
Peu recommandé</t>
  </si>
  <si>
    <t>Page 9
Peu recommandé</t>
  </si>
  <si>
    <t>Page 5
Peu recommandé</t>
  </si>
  <si>
    <t>TOURNOI A 32 EQUIPES - 4 TERRAINS - A PARTIR DE U13</t>
  </si>
  <si>
    <t>8 poules de 4 - Poules de brassage puis Phases éliminatoires (Tournoi principal et complémentaire)</t>
  </si>
  <si>
    <t>7 Matchs par équipe</t>
  </si>
  <si>
    <t>Poule G</t>
  </si>
  <si>
    <t>Poule H</t>
  </si>
  <si>
    <t>Equipe 25</t>
  </si>
  <si>
    <t>Equipe 26</t>
  </si>
  <si>
    <t>Equipe 27</t>
  </si>
  <si>
    <t>Equipe 28</t>
  </si>
  <si>
    <t>Equipe 29</t>
  </si>
  <si>
    <t>Equipe 30</t>
  </si>
  <si>
    <t>Equipe 31</t>
  </si>
  <si>
    <t>Equipe 32</t>
  </si>
  <si>
    <t>1/8 de finale</t>
  </si>
  <si>
    <t>PAUSE</t>
  </si>
  <si>
    <t>N° Match</t>
  </si>
  <si>
    <t>Matchs classement</t>
  </si>
  <si>
    <t>1/2 de finale</t>
  </si>
  <si>
    <t>Matchs 31ème place</t>
  </si>
  <si>
    <t>Matchs 29ème place</t>
  </si>
  <si>
    <t>Matchs 27ème place</t>
  </si>
  <si>
    <t>Matchs 25ème place</t>
  </si>
  <si>
    <t>Matchs 23ème place</t>
  </si>
  <si>
    <t>Matchs 21ème place</t>
  </si>
  <si>
    <t>Finale Tournoi Compl.</t>
  </si>
  <si>
    <t>3ème Place Tournoi Compl.</t>
  </si>
  <si>
    <t>TOURNOI COMPLEMENTAIRE</t>
  </si>
  <si>
    <t>TOURNOI PRINCIPAL</t>
  </si>
  <si>
    <t>Matchs 7ème place</t>
  </si>
  <si>
    <t>Matchs 5ème place</t>
  </si>
  <si>
    <t>Match 3ème Place</t>
  </si>
  <si>
    <t>Matchs 9ème place</t>
  </si>
  <si>
    <t>Matchs 11ème place</t>
  </si>
  <si>
    <t>Matchs 13ème place</t>
  </si>
  <si>
    <t>Matchs 15ème place</t>
  </si>
  <si>
    <t>TOURNOI A 16 EQUIPES - 4 TERRAINS - U9</t>
  </si>
  <si>
    <t>TOURNOI A 16 EQUIPES - 4 TERRAINS - U7</t>
  </si>
  <si>
    <t>Page 28</t>
  </si>
  <si>
    <t>8 poules de 4 - Poules de brassage puis poules de niveau</t>
  </si>
  <si>
    <t>TOURNOI A 32 EQUIPES - 4 TERRAINS - A PARTIR DE U11</t>
  </si>
  <si>
    <t>CLASSEMENT 2EME PHASE</t>
  </si>
  <si>
    <t>MATCHS DE CLASSEMENT      -</t>
  </si>
  <si>
    <t>Groupe G</t>
  </si>
  <si>
    <t>Groupe H</t>
  </si>
  <si>
    <t>CLASSEMENT NIVEAU</t>
  </si>
  <si>
    <t>8 poules de 4 - Poules de brassage puis poules de niveau et 1 match de classement</t>
  </si>
  <si>
    <t>Matchs 19ème place</t>
  </si>
  <si>
    <t>Matchs 17ème place</t>
  </si>
  <si>
    <t>Match 5ème Place</t>
  </si>
  <si>
    <t>Matchs 3ème place</t>
  </si>
  <si>
    <t>Poule A - 4èmes</t>
  </si>
  <si>
    <t>Poule B - 4èmes</t>
  </si>
  <si>
    <t>Poule C - 3èmes</t>
  </si>
  <si>
    <t>Poule D - 3èmes</t>
  </si>
  <si>
    <t>Poule E - 2èmes</t>
  </si>
  <si>
    <t>Poule F - 2èmes</t>
  </si>
  <si>
    <t>Poule G - 1ers</t>
  </si>
  <si>
    <t>Poule H - 1ers</t>
  </si>
  <si>
    <t>Page 30</t>
  </si>
  <si>
    <t>Page 29</t>
  </si>
  <si>
    <t>Page 32</t>
  </si>
  <si>
    <t>TOURNOI A 32 EQUIPES - 8 TERRAINS - A PARTIR DE U9</t>
  </si>
  <si>
    <t>TERRAIN 5</t>
  </si>
  <si>
    <t>TERRAIN 6</t>
  </si>
  <si>
    <t>TERRAIN 7</t>
  </si>
  <si>
    <t>TERRAIN 8</t>
  </si>
  <si>
    <t xml:space="preserve">Poule H </t>
  </si>
  <si>
    <t>Page 34</t>
  </si>
  <si>
    <t>TOURNOI A 32 EQUIPES - 4 TERRAINS - A PARTIR DE U9</t>
  </si>
  <si>
    <t>Page 33</t>
  </si>
  <si>
    <t>2 phases de poules
sans classement</t>
  </si>
  <si>
    <t>16 équipe</t>
  </si>
  <si>
    <t>6 poules de 4 - Poules de brassage puis 4 poules de 6 de niveau</t>
  </si>
  <si>
    <t>Page 35</t>
  </si>
  <si>
    <r>
      <t>Durée</t>
    </r>
    <r>
      <rPr>
        <b/>
        <sz val="12"/>
        <color theme="1"/>
        <rFont val="Calibri"/>
        <family val="2"/>
        <scheme val="minor"/>
      </rPr>
      <t xml:space="preserve"> : 1/2 Journée ou journée</t>
    </r>
  </si>
  <si>
    <t>Page 31</t>
  </si>
  <si>
    <t>Page 36</t>
  </si>
  <si>
    <t>Page 38</t>
  </si>
  <si>
    <t>Page 37</t>
  </si>
  <si>
    <t>Voir organisation d'un Festi Foot</t>
  </si>
  <si>
    <t>8 poules de 4 - 2 phases</t>
  </si>
  <si>
    <t>PHASE 1     -</t>
  </si>
  <si>
    <t>Page 39</t>
  </si>
  <si>
    <t>TOURNOI A 32 EQUIPES - 8 TERRAINS - U7 ou U9</t>
  </si>
  <si>
    <t>TOURNOI A 24 EQUIPES - 4 TERRAINS - U9 ou U11</t>
  </si>
  <si>
    <t>TOURNOI A 24 EQUIPES - 4 TERRAINS - U11 ou U13</t>
  </si>
  <si>
    <t>Page 34
(8 terrains)</t>
  </si>
  <si>
    <t>Page 36
(4 terrains)</t>
  </si>
  <si>
    <t>Page 38
(8 terrains)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</si>
</sst>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indexed="81"/>
      <name val="Tahoma"/>
      <family val="2"/>
    </font>
    <font>
      <i/>
      <sz val="9"/>
      <color indexed="81"/>
      <name val="Tahoma"/>
      <family val="2"/>
    </font>
    <font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88">
    <xf numFmtId="0" fontId="0" fillId="0" borderId="0" xfId="0"/>
    <xf numFmtId="0" fontId="0" fillId="0" borderId="0" xfId="0" applyProtection="1"/>
    <xf numFmtId="0" fontId="0" fillId="0" borderId="0" xfId="0" applyBorder="1" applyProtection="1"/>
    <xf numFmtId="165" fontId="0" fillId="0" borderId="0" xfId="0" applyNumberFormat="1" applyProtection="1"/>
    <xf numFmtId="0" fontId="5" fillId="0" borderId="20" xfId="0" applyFont="1" applyBorder="1" applyAlignment="1" applyProtection="1"/>
    <xf numFmtId="0" fontId="5" fillId="0" borderId="24" xfId="0" applyFont="1" applyBorder="1" applyAlignment="1" applyProtection="1"/>
    <xf numFmtId="0" fontId="1" fillId="3" borderId="11" xfId="0" applyFont="1" applyFill="1" applyBorder="1" applyProtection="1"/>
    <xf numFmtId="0" fontId="1" fillId="2" borderId="11" xfId="0" applyFont="1" applyFill="1" applyBorder="1" applyProtection="1"/>
    <xf numFmtId="0" fontId="1" fillId="6" borderId="11" xfId="0" applyFont="1" applyFill="1" applyBorder="1" applyProtection="1"/>
    <xf numFmtId="0" fontId="1" fillId="9" borderId="11" xfId="0" applyFont="1" applyFill="1" applyBorder="1" applyProtection="1"/>
    <xf numFmtId="0" fontId="0" fillId="3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0" fontId="0" fillId="3" borderId="8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0" fontId="0" fillId="0" borderId="43" xfId="0" applyBorder="1" applyProtection="1"/>
    <xf numFmtId="0" fontId="0" fillId="0" borderId="20" xfId="0" applyBorder="1" applyProtection="1"/>
    <xf numFmtId="0" fontId="0" fillId="0" borderId="40" xfId="0" applyBorder="1" applyProtection="1"/>
    <xf numFmtId="0" fontId="0" fillId="0" borderId="42" xfId="0" applyBorder="1" applyProtection="1"/>
    <xf numFmtId="0" fontId="0" fillId="0" borderId="39" xfId="0" applyBorder="1" applyProtection="1"/>
    <xf numFmtId="0" fontId="1" fillId="7" borderId="3" xfId="0" applyFont="1" applyFill="1" applyBorder="1" applyProtection="1"/>
    <xf numFmtId="0" fontId="1" fillId="0" borderId="0" xfId="0" applyFont="1" applyBorder="1" applyProtection="1"/>
    <xf numFmtId="0" fontId="1" fillId="8" borderId="3" xfId="0" applyFont="1" applyFill="1" applyBorder="1" applyProtection="1"/>
    <xf numFmtId="0" fontId="1" fillId="5" borderId="3" xfId="0" applyFont="1" applyFill="1" applyBorder="1" applyProtection="1"/>
    <xf numFmtId="0" fontId="1" fillId="4" borderId="3" xfId="0" applyFont="1" applyFill="1" applyBorder="1" applyProtection="1"/>
    <xf numFmtId="0" fontId="1" fillId="0" borderId="0" xfId="0" applyFont="1" applyProtection="1"/>
    <xf numFmtId="165" fontId="0" fillId="7" borderId="6" xfId="0" applyNumberFormat="1" applyFill="1" applyBorder="1" applyProtection="1"/>
    <xf numFmtId="0" fontId="3" fillId="7" borderId="1" xfId="0" applyFont="1" applyFill="1" applyBorder="1" applyProtection="1"/>
    <xf numFmtId="165" fontId="0" fillId="8" borderId="6" xfId="0" applyNumberFormat="1" applyFill="1" applyBorder="1" applyProtection="1"/>
    <xf numFmtId="0" fontId="3" fillId="8" borderId="1" xfId="0" applyFont="1" applyFill="1" applyBorder="1" applyProtection="1"/>
    <xf numFmtId="165" fontId="0" fillId="5" borderId="6" xfId="0" applyNumberFormat="1" applyFill="1" applyBorder="1" applyProtection="1"/>
    <xf numFmtId="0" fontId="3" fillId="5" borderId="1" xfId="0" applyFont="1" applyFill="1" applyBorder="1" applyProtection="1"/>
    <xf numFmtId="165" fontId="0" fillId="4" borderId="6" xfId="0" applyNumberFormat="1" applyFill="1" applyBorder="1" applyProtection="1"/>
    <xf numFmtId="0" fontId="3" fillId="4" borderId="1" xfId="0" applyFont="1" applyFill="1" applyBorder="1" applyProtection="1"/>
    <xf numFmtId="165" fontId="0" fillId="7" borderId="8" xfId="0" applyNumberFormat="1" applyFill="1" applyBorder="1" applyProtection="1"/>
    <xf numFmtId="0" fontId="3" fillId="7" borderId="9" xfId="0" applyFont="1" applyFill="1" applyBorder="1" applyProtection="1"/>
    <xf numFmtId="165" fontId="0" fillId="8" borderId="8" xfId="0" applyNumberFormat="1" applyFill="1" applyBorder="1" applyProtection="1"/>
    <xf numFmtId="0" fontId="3" fillId="8" borderId="9" xfId="0" applyFont="1" applyFill="1" applyBorder="1" applyProtection="1"/>
    <xf numFmtId="165" fontId="0" fillId="5" borderId="8" xfId="0" applyNumberFormat="1" applyFill="1" applyBorder="1" applyProtection="1"/>
    <xf numFmtId="0" fontId="3" fillId="5" borderId="9" xfId="0" applyFont="1" applyFill="1" applyBorder="1" applyProtection="1"/>
    <xf numFmtId="165" fontId="0" fillId="4" borderId="8" xfId="0" applyNumberFormat="1" applyFill="1" applyBorder="1" applyProtection="1"/>
    <xf numFmtId="0" fontId="3" fillId="4" borderId="9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44" xfId="0" applyBorder="1" applyProtection="1"/>
    <xf numFmtId="0" fontId="0" fillId="0" borderId="40" xfId="0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0" xfId="0" applyFill="1" applyProtection="1"/>
    <xf numFmtId="0" fontId="1" fillId="0" borderId="1" xfId="0" applyFont="1" applyFill="1" applyBorder="1" applyProtection="1"/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7" xfId="0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0" fontId="3" fillId="8" borderId="9" xfId="0" applyFont="1" applyFill="1" applyBorder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/>
    <xf numFmtId="0" fontId="0" fillId="0" borderId="1" xfId="0" applyFill="1" applyBorder="1" applyAlignment="1" applyProtection="1">
      <alignment horizontal="center" wrapText="1"/>
    </xf>
    <xf numFmtId="0" fontId="0" fillId="0" borderId="0" xfId="0" applyAlignment="1" applyProtection="1"/>
    <xf numFmtId="0" fontId="5" fillId="0" borderId="20" xfId="0" applyFont="1" applyBorder="1" applyAlignment="1" applyProtection="1"/>
    <xf numFmtId="20" fontId="8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30" xfId="0" applyFill="1" applyBorder="1" applyProtection="1"/>
    <xf numFmtId="0" fontId="0" fillId="0" borderId="31" xfId="0" applyFill="1" applyBorder="1" applyProtection="1"/>
    <xf numFmtId="0" fontId="1" fillId="0" borderId="31" xfId="0" applyFont="1" applyFill="1" applyBorder="1" applyProtection="1"/>
    <xf numFmtId="0" fontId="0" fillId="0" borderId="32" xfId="0" applyFill="1" applyBorder="1" applyProtection="1"/>
    <xf numFmtId="0" fontId="5" fillId="0" borderId="20" xfId="0" applyFont="1" applyBorder="1" applyAlignment="1" applyProtection="1">
      <alignment horizontal="right"/>
    </xf>
    <xf numFmtId="0" fontId="5" fillId="0" borderId="24" xfId="0" applyFont="1" applyBorder="1" applyAlignment="1" applyProtection="1"/>
    <xf numFmtId="0" fontId="1" fillId="0" borderId="3" xfId="0" applyFont="1" applyFill="1" applyBorder="1" applyAlignment="1" applyProtection="1">
      <alignment horizontal="center"/>
    </xf>
    <xf numFmtId="0" fontId="1" fillId="0" borderId="12" xfId="0" applyFont="1" applyFill="1" applyBorder="1" applyProtection="1"/>
    <xf numFmtId="0" fontId="1" fillId="9" borderId="3" xfId="0" applyFont="1" applyFill="1" applyBorder="1" applyProtection="1"/>
    <xf numFmtId="0" fontId="1" fillId="0" borderId="11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 wrapText="1"/>
    </xf>
    <xf numFmtId="0" fontId="0" fillId="0" borderId="8" xfId="0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/>
    <xf numFmtId="0" fontId="0" fillId="0" borderId="44" xfId="0" applyFill="1" applyBorder="1" applyProtection="1"/>
    <xf numFmtId="0" fontId="1" fillId="0" borderId="17" xfId="0" applyFont="1" applyFill="1" applyBorder="1" applyProtection="1"/>
    <xf numFmtId="0" fontId="0" fillId="0" borderId="18" xfId="0" applyFill="1" applyBorder="1" applyAlignment="1" applyProtection="1">
      <alignment horizontal="center" wrapText="1"/>
    </xf>
    <xf numFmtId="0" fontId="0" fillId="0" borderId="19" xfId="0" applyFill="1" applyBorder="1" applyAlignment="1" applyProtection="1">
      <alignment horizontal="center" wrapText="1"/>
    </xf>
    <xf numFmtId="0" fontId="0" fillId="0" borderId="4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/>
    <xf numFmtId="0" fontId="1" fillId="0" borderId="3" xfId="0" applyFont="1" applyFill="1" applyBorder="1" applyProtection="1"/>
    <xf numFmtId="0" fontId="1" fillId="6" borderId="3" xfId="0" applyFont="1" applyFill="1" applyBorder="1" applyProtection="1"/>
    <xf numFmtId="0" fontId="5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0" fillId="0" borderId="33" xfId="0" applyFill="1" applyBorder="1" applyAlignment="1" applyProtection="1">
      <alignment horizontal="center" wrapText="1"/>
    </xf>
    <xf numFmtId="0" fontId="3" fillId="0" borderId="34" xfId="0" applyFont="1" applyFill="1" applyBorder="1" applyAlignment="1" applyProtection="1"/>
    <xf numFmtId="0" fontId="1" fillId="0" borderId="40" xfId="0" applyFont="1" applyFill="1" applyBorder="1" applyProtection="1"/>
    <xf numFmtId="0" fontId="0" fillId="0" borderId="40" xfId="0" applyFill="1" applyBorder="1" applyProtection="1"/>
    <xf numFmtId="0" fontId="7" fillId="0" borderId="0" xfId="0" applyFont="1" applyBorder="1" applyAlignment="1" applyProtection="1">
      <alignment vertical="center"/>
    </xf>
    <xf numFmtId="0" fontId="0" fillId="0" borderId="31" xfId="0" applyBorder="1" applyProtection="1"/>
    <xf numFmtId="0" fontId="0" fillId="0" borderId="13" xfId="0" applyBorder="1" applyProtection="1"/>
    <xf numFmtId="0" fontId="0" fillId="0" borderId="24" xfId="0" applyBorder="1" applyProtection="1"/>
    <xf numFmtId="0" fontId="0" fillId="0" borderId="33" xfId="0" applyFill="1" applyBorder="1" applyAlignment="1" applyProtection="1">
      <alignment horizontal="center"/>
    </xf>
    <xf numFmtId="0" fontId="0" fillId="11" borderId="30" xfId="0" applyFill="1" applyBorder="1" applyProtection="1"/>
    <xf numFmtId="0" fontId="0" fillId="11" borderId="31" xfId="0" applyFill="1" applyBorder="1" applyProtection="1"/>
    <xf numFmtId="0" fontId="1" fillId="11" borderId="31" xfId="0" applyFont="1" applyFill="1" applyBorder="1" applyProtection="1"/>
    <xf numFmtId="0" fontId="0" fillId="11" borderId="13" xfId="0" applyFill="1" applyBorder="1" applyProtection="1"/>
    <xf numFmtId="0" fontId="0" fillId="11" borderId="20" xfId="0" applyFill="1" applyBorder="1" applyProtection="1"/>
    <xf numFmtId="0" fontId="0" fillId="11" borderId="24" xfId="0" applyFill="1" applyBorder="1" applyProtection="1"/>
    <xf numFmtId="0" fontId="3" fillId="0" borderId="44" xfId="0" applyFont="1" applyFill="1" applyBorder="1" applyAlignment="1" applyProtection="1">
      <alignment horizontal="left"/>
    </xf>
    <xf numFmtId="1" fontId="3" fillId="0" borderId="44" xfId="0" applyNumberFormat="1" applyFont="1" applyFill="1" applyBorder="1" applyAlignment="1" applyProtection="1">
      <alignment horizontal="center"/>
    </xf>
    <xf numFmtId="1" fontId="3" fillId="0" borderId="41" xfId="0" applyNumberFormat="1" applyFont="1" applyFill="1" applyBorder="1" applyAlignment="1" applyProtection="1">
      <alignment horizontal="center"/>
    </xf>
    <xf numFmtId="165" fontId="0" fillId="0" borderId="52" xfId="0" applyNumberFormat="1" applyFill="1" applyBorder="1" applyProtection="1"/>
    <xf numFmtId="0" fontId="3" fillId="0" borderId="44" xfId="0" applyFont="1" applyFill="1" applyBorder="1" applyProtection="1"/>
    <xf numFmtId="165" fontId="0" fillId="0" borderId="44" xfId="0" applyNumberFormat="1" applyFill="1" applyBorder="1" applyProtection="1"/>
    <xf numFmtId="0" fontId="1" fillId="0" borderId="46" xfId="0" applyFont="1" applyFill="1" applyBorder="1" applyProtection="1"/>
    <xf numFmtId="0" fontId="0" fillId="0" borderId="30" xfId="0" applyBorder="1" applyProtection="1"/>
    <xf numFmtId="0" fontId="0" fillId="0" borderId="32" xfId="0" applyBorder="1" applyProtection="1"/>
    <xf numFmtId="0" fontId="1" fillId="2" borderId="3" xfId="0" applyFont="1" applyFill="1" applyBorder="1" applyProtection="1"/>
    <xf numFmtId="0" fontId="1" fillId="3" borderId="3" xfId="0" applyFont="1" applyFill="1" applyBorder="1" applyProtection="1"/>
    <xf numFmtId="0" fontId="5" fillId="0" borderId="20" xfId="0" applyFont="1" applyBorder="1" applyAlignment="1" applyProtection="1">
      <alignment horizontal="right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/>
    <xf numFmtId="165" fontId="0" fillId="7" borderId="33" xfId="0" applyNumberFormat="1" applyFill="1" applyBorder="1" applyProtection="1"/>
    <xf numFmtId="0" fontId="3" fillId="7" borderId="34" xfId="0" applyFont="1" applyFill="1" applyBorder="1" applyProtection="1"/>
    <xf numFmtId="165" fontId="0" fillId="8" borderId="33" xfId="0" applyNumberFormat="1" applyFill="1" applyBorder="1" applyProtection="1"/>
    <xf numFmtId="0" fontId="3" fillId="8" borderId="34" xfId="0" applyFont="1" applyFill="1" applyBorder="1" applyProtection="1"/>
    <xf numFmtId="165" fontId="0" fillId="5" borderId="33" xfId="0" applyNumberFormat="1" applyFill="1" applyBorder="1" applyProtection="1"/>
    <xf numFmtId="0" fontId="3" fillId="5" borderId="34" xfId="0" applyFont="1" applyFill="1" applyBorder="1" applyProtection="1"/>
    <xf numFmtId="165" fontId="0" fillId="4" borderId="33" xfId="0" applyNumberFormat="1" applyFill="1" applyBorder="1" applyProtection="1"/>
    <xf numFmtId="0" fontId="3" fillId="4" borderId="34" xfId="0" applyFont="1" applyFill="1" applyBorder="1" applyProtection="1"/>
    <xf numFmtId="165" fontId="0" fillId="0" borderId="0" xfId="0" applyNumberFormat="1" applyFill="1" applyBorder="1" applyProtection="1"/>
    <xf numFmtId="0" fontId="3" fillId="0" borderId="0" xfId="0" applyFont="1" applyFill="1" applyBorder="1" applyProtection="1"/>
    <xf numFmtId="0" fontId="5" fillId="0" borderId="0" xfId="0" applyFont="1" applyBorder="1" applyAlignment="1" applyProtection="1">
      <alignment horizontal="right"/>
    </xf>
    <xf numFmtId="0" fontId="1" fillId="13" borderId="11" xfId="0" applyFont="1" applyFill="1" applyBorder="1" applyProtection="1"/>
    <xf numFmtId="165" fontId="0" fillId="13" borderId="6" xfId="0" applyNumberFormat="1" applyFill="1" applyBorder="1" applyProtection="1"/>
    <xf numFmtId="0" fontId="3" fillId="13" borderId="1" xfId="0" applyFont="1" applyFill="1" applyBorder="1" applyProtection="1"/>
    <xf numFmtId="0" fontId="3" fillId="13" borderId="1" xfId="0" applyFont="1" applyFill="1" applyBorder="1" applyAlignment="1" applyProtection="1">
      <alignment horizontal="center"/>
      <protection locked="0"/>
    </xf>
    <xf numFmtId="0" fontId="3" fillId="13" borderId="7" xfId="0" applyFont="1" applyFill="1" applyBorder="1" applyAlignment="1" applyProtection="1">
      <alignment horizontal="center"/>
      <protection locked="0"/>
    </xf>
    <xf numFmtId="165" fontId="0" fillId="13" borderId="8" xfId="0" applyNumberFormat="1" applyFill="1" applyBorder="1" applyProtection="1"/>
    <xf numFmtId="0" fontId="3" fillId="13" borderId="9" xfId="0" applyFont="1" applyFill="1" applyBorder="1" applyProtection="1"/>
    <xf numFmtId="0" fontId="3" fillId="13" borderId="9" xfId="0" applyFont="1" applyFill="1" applyBorder="1" applyAlignment="1" applyProtection="1">
      <alignment horizontal="center"/>
      <protection locked="0"/>
    </xf>
    <xf numFmtId="0" fontId="3" fillId="13" borderId="10" xfId="0" applyFont="1" applyFill="1" applyBorder="1" applyAlignment="1" applyProtection="1">
      <alignment horizontal="center"/>
      <protection locked="0"/>
    </xf>
    <xf numFmtId="0" fontId="1" fillId="13" borderId="3" xfId="0" applyFont="1" applyFill="1" applyBorder="1" applyProtection="1"/>
    <xf numFmtId="0" fontId="1" fillId="14" borderId="11" xfId="0" applyFont="1" applyFill="1" applyBorder="1" applyProtection="1"/>
    <xf numFmtId="165" fontId="0" fillId="14" borderId="6" xfId="0" applyNumberFormat="1" applyFill="1" applyBorder="1" applyProtection="1"/>
    <xf numFmtId="0" fontId="3" fillId="14" borderId="1" xfId="0" applyFont="1" applyFill="1" applyBorder="1" applyProtection="1"/>
    <xf numFmtId="0" fontId="3" fillId="14" borderId="1" xfId="0" applyFont="1" applyFill="1" applyBorder="1" applyAlignment="1" applyProtection="1">
      <alignment horizontal="center"/>
      <protection locked="0"/>
    </xf>
    <xf numFmtId="0" fontId="3" fillId="14" borderId="7" xfId="0" applyFont="1" applyFill="1" applyBorder="1" applyAlignment="1" applyProtection="1">
      <alignment horizontal="center"/>
      <protection locked="0"/>
    </xf>
    <xf numFmtId="165" fontId="0" fillId="14" borderId="8" xfId="0" applyNumberFormat="1" applyFill="1" applyBorder="1" applyProtection="1"/>
    <xf numFmtId="0" fontId="3" fillId="14" borderId="9" xfId="0" applyFont="1" applyFill="1" applyBorder="1" applyProtection="1"/>
    <xf numFmtId="0" fontId="3" fillId="14" borderId="9" xfId="0" applyFont="1" applyFill="1" applyBorder="1" applyAlignment="1" applyProtection="1">
      <alignment horizontal="center"/>
      <protection locked="0"/>
    </xf>
    <xf numFmtId="0" fontId="3" fillId="14" borderId="10" xfId="0" applyFont="1" applyFill="1" applyBorder="1" applyAlignment="1" applyProtection="1">
      <alignment horizontal="center"/>
      <protection locked="0"/>
    </xf>
    <xf numFmtId="0" fontId="1" fillId="14" borderId="3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0" xfId="0" applyFont="1" applyFill="1" applyBorder="1" applyAlignment="1" applyProtection="1">
      <alignment horizontal="center"/>
    </xf>
    <xf numFmtId="165" fontId="0" fillId="0" borderId="43" xfId="0" applyNumberFormat="1" applyFill="1" applyBorder="1" applyProtection="1"/>
    <xf numFmtId="0" fontId="1" fillId="11" borderId="0" xfId="0" applyFont="1" applyFill="1" applyBorder="1" applyProtection="1"/>
    <xf numFmtId="0" fontId="0" fillId="11" borderId="0" xfId="0" applyFill="1" applyBorder="1" applyProtection="1"/>
    <xf numFmtId="0" fontId="0" fillId="11" borderId="44" xfId="0" applyFill="1" applyBorder="1" applyProtection="1"/>
    <xf numFmtId="0" fontId="1" fillId="10" borderId="0" xfId="0" applyFont="1" applyFill="1" applyBorder="1" applyProtection="1"/>
    <xf numFmtId="0" fontId="0" fillId="10" borderId="0" xfId="0" applyFill="1" applyBorder="1" applyProtection="1"/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3" fillId="0" borderId="43" xfId="0" applyFont="1" applyFill="1" applyBorder="1" applyAlignment="1" applyProtection="1"/>
    <xf numFmtId="0" fontId="3" fillId="0" borderId="44" xfId="0" applyFont="1" applyFill="1" applyBorder="1" applyAlignment="1" applyProtection="1">
      <alignment horizontal="center"/>
    </xf>
    <xf numFmtId="20" fontId="8" fillId="11" borderId="0" xfId="0" applyNumberFormat="1" applyFont="1" applyFill="1" applyBorder="1" applyAlignment="1" applyProtection="1">
      <alignment horizontal="center" vertical="center"/>
    </xf>
    <xf numFmtId="1" fontId="3" fillId="0" borderId="27" xfId="0" applyNumberFormat="1" applyFont="1" applyFill="1" applyBorder="1" applyAlignment="1" applyProtection="1"/>
    <xf numFmtId="1" fontId="3" fillId="0" borderId="28" xfId="0" applyNumberFormat="1" applyFont="1" applyFill="1" applyBorder="1" applyAlignment="1" applyProtection="1"/>
    <xf numFmtId="0" fontId="1" fillId="0" borderId="4" xfId="0" applyFont="1" applyFill="1" applyBorder="1" applyAlignment="1" applyProtection="1"/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/>
    <xf numFmtId="1" fontId="3" fillId="0" borderId="0" xfId="0" applyNumberFormat="1" applyFont="1" applyFill="1" applyBorder="1" applyAlignment="1" applyProtection="1"/>
    <xf numFmtId="165" fontId="5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0" fontId="0" fillId="0" borderId="0" xfId="0" applyBorder="1" applyAlignment="1" applyProtection="1">
      <alignment horizontal="center"/>
    </xf>
    <xf numFmtId="1" fontId="3" fillId="0" borderId="7" xfId="0" applyNumberFormat="1" applyFont="1" applyFill="1" applyBorder="1" applyAlignment="1" applyProtection="1"/>
    <xf numFmtId="1" fontId="3" fillId="0" borderId="9" xfId="0" applyNumberFormat="1" applyFont="1" applyFill="1" applyBorder="1" applyAlignment="1" applyProtection="1"/>
    <xf numFmtId="1" fontId="3" fillId="0" borderId="10" xfId="0" applyNumberFormat="1" applyFont="1" applyFill="1" applyBorder="1" applyAlignment="1" applyProtection="1"/>
    <xf numFmtId="0" fontId="3" fillId="0" borderId="41" xfId="0" applyFont="1" applyFill="1" applyBorder="1" applyAlignment="1" applyProtection="1">
      <alignment horizontal="center"/>
    </xf>
    <xf numFmtId="0" fontId="0" fillId="0" borderId="41" xfId="0" applyBorder="1" applyProtection="1"/>
    <xf numFmtId="20" fontId="8" fillId="0" borderId="2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/>
    <xf numFmtId="20" fontId="8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1" fillId="0" borderId="32" xfId="0" applyFont="1" applyBorder="1" applyProtection="1"/>
    <xf numFmtId="0" fontId="1" fillId="0" borderId="36" xfId="0" applyFont="1" applyFill="1" applyBorder="1" applyAlignment="1" applyProtection="1"/>
    <xf numFmtId="0" fontId="1" fillId="0" borderId="30" xfId="0" applyFont="1" applyFill="1" applyBorder="1" applyAlignment="1" applyProtection="1"/>
    <xf numFmtId="0" fontId="1" fillId="0" borderId="31" xfId="0" applyFont="1" applyFill="1" applyBorder="1" applyAlignment="1" applyProtection="1"/>
    <xf numFmtId="0" fontId="1" fillId="0" borderId="32" xfId="0" applyFont="1" applyFill="1" applyBorder="1" applyAlignment="1" applyProtection="1"/>
    <xf numFmtId="0" fontId="9" fillId="0" borderId="0" xfId="0" applyFont="1" applyFill="1" applyBorder="1" applyAlignment="1" applyProtection="1"/>
    <xf numFmtId="20" fontId="1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/>
    <xf numFmtId="0" fontId="0" fillId="0" borderId="40" xfId="0" applyBorder="1" applyAlignment="1" applyProtection="1"/>
    <xf numFmtId="0" fontId="5" fillId="0" borderId="0" xfId="0" applyFont="1" applyBorder="1" applyAlignment="1" applyProtection="1"/>
    <xf numFmtId="0" fontId="3" fillId="5" borderId="7" xfId="0" applyFont="1" applyFill="1" applyBorder="1" applyProtection="1"/>
    <xf numFmtId="0" fontId="3" fillId="5" borderId="10" xfId="0" applyFont="1" applyFill="1" applyBorder="1" applyProtection="1"/>
    <xf numFmtId="0" fontId="0" fillId="10" borderId="0" xfId="0" applyFill="1" applyProtection="1"/>
    <xf numFmtId="165" fontId="2" fillId="0" borderId="0" xfId="0" applyNumberFormat="1" applyFont="1" applyFill="1" applyBorder="1" applyAlignment="1" applyProtection="1">
      <alignment vertical="center"/>
    </xf>
    <xf numFmtId="20" fontId="8" fillId="0" borderId="24" xfId="0" applyNumberFormat="1" applyFont="1" applyBorder="1" applyAlignment="1" applyProtection="1">
      <alignment vertical="center"/>
    </xf>
    <xf numFmtId="20" fontId="8" fillId="0" borderId="0" xfId="0" applyNumberFormat="1" applyFont="1" applyBorder="1" applyAlignment="1" applyProtection="1">
      <alignment vertical="center"/>
    </xf>
    <xf numFmtId="0" fontId="1" fillId="2" borderId="60" xfId="0" applyFont="1" applyFill="1" applyBorder="1" applyAlignment="1" applyProtection="1"/>
    <xf numFmtId="0" fontId="1" fillId="2" borderId="40" xfId="0" applyFont="1" applyFill="1" applyBorder="1" applyAlignment="1" applyProtection="1"/>
    <xf numFmtId="0" fontId="1" fillId="2" borderId="59" xfId="0" applyFont="1" applyFill="1" applyBorder="1" applyAlignment="1" applyProtection="1"/>
    <xf numFmtId="0" fontId="1" fillId="2" borderId="41" xfId="0" applyFont="1" applyFill="1" applyBorder="1" applyAlignment="1" applyProtection="1"/>
    <xf numFmtId="0" fontId="0" fillId="0" borderId="44" xfId="0" applyBorder="1" applyAlignment="1" applyProtection="1">
      <alignment vertical="center"/>
    </xf>
    <xf numFmtId="165" fontId="7" fillId="0" borderId="44" xfId="0" applyNumberFormat="1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20" fontId="11" fillId="0" borderId="2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5" fontId="2" fillId="15" borderId="2" xfId="0" applyNumberFormat="1" applyFont="1" applyFill="1" applyBorder="1" applyAlignment="1" applyProtection="1">
      <alignment horizontal="center" vertical="center"/>
      <protection locked="0"/>
    </xf>
    <xf numFmtId="20" fontId="8" fillId="10" borderId="0" xfId="0" applyNumberFormat="1" applyFont="1" applyFill="1" applyBorder="1" applyAlignment="1" applyProtection="1">
      <alignment vertical="center"/>
    </xf>
    <xf numFmtId="0" fontId="0" fillId="10" borderId="44" xfId="0" applyFill="1" applyBorder="1" applyProtection="1"/>
    <xf numFmtId="0" fontId="0" fillId="0" borderId="0" xfId="0" applyProtection="1">
      <protection locked="0"/>
    </xf>
    <xf numFmtId="0" fontId="0" fillId="0" borderId="32" xfId="0" applyFill="1" applyBorder="1" applyProtection="1">
      <protection locked="0"/>
    </xf>
    <xf numFmtId="0" fontId="5" fillId="0" borderId="20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/>
    <xf numFmtId="0" fontId="0" fillId="0" borderId="0" xfId="0" applyFill="1" applyBorder="1" applyAlignment="1" applyProtection="1">
      <alignment horizontal="center"/>
    </xf>
    <xf numFmtId="0" fontId="0" fillId="0" borderId="43" xfId="0" applyFill="1" applyBorder="1" applyProtection="1"/>
    <xf numFmtId="0" fontId="1" fillId="0" borderId="43" xfId="0" applyFont="1" applyFill="1" applyBorder="1" applyProtection="1"/>
    <xf numFmtId="0" fontId="5" fillId="0" borderId="42" xfId="0" applyFont="1" applyBorder="1" applyAlignment="1" applyProtection="1"/>
    <xf numFmtId="0" fontId="1" fillId="3" borderId="17" xfId="0" applyFont="1" applyFill="1" applyBorder="1" applyProtection="1"/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1" fillId="7" borderId="46" xfId="0" applyFont="1" applyFill="1" applyBorder="1" applyProtection="1"/>
    <xf numFmtId="165" fontId="0" fillId="7" borderId="18" xfId="0" applyNumberFormat="1" applyFill="1" applyBorder="1" applyProtection="1"/>
    <xf numFmtId="165" fontId="0" fillId="7" borderId="19" xfId="0" applyNumberFormat="1" applyFill="1" applyBorder="1" applyProtection="1"/>
    <xf numFmtId="0" fontId="0" fillId="10" borderId="30" xfId="0" applyFill="1" applyBorder="1" applyProtection="1"/>
    <xf numFmtId="20" fontId="8" fillId="10" borderId="31" xfId="0" applyNumberFormat="1" applyFont="1" applyFill="1" applyBorder="1" applyAlignment="1" applyProtection="1">
      <alignment horizontal="center" vertical="center"/>
    </xf>
    <xf numFmtId="0" fontId="0" fillId="10" borderId="31" xfId="0" applyFill="1" applyBorder="1" applyProtection="1"/>
    <xf numFmtId="0" fontId="1" fillId="10" borderId="31" xfId="0" applyFont="1" applyFill="1" applyBorder="1" applyProtection="1"/>
    <xf numFmtId="0" fontId="0" fillId="10" borderId="32" xfId="0" applyFill="1" applyBorder="1" applyProtection="1"/>
    <xf numFmtId="20" fontId="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2" xfId="0" applyFill="1" applyBorder="1" applyProtection="1"/>
    <xf numFmtId="20" fontId="8" fillId="0" borderId="42" xfId="0" applyNumberFormat="1" applyFont="1" applyBorder="1" applyAlignment="1" applyProtection="1">
      <alignment vertical="center"/>
    </xf>
    <xf numFmtId="0" fontId="1" fillId="0" borderId="48" xfId="0" applyFont="1" applyFill="1" applyBorder="1" applyProtection="1"/>
    <xf numFmtId="0" fontId="1" fillId="0" borderId="42" xfId="0" applyFont="1" applyFill="1" applyBorder="1" applyProtection="1"/>
    <xf numFmtId="0" fontId="0" fillId="0" borderId="43" xfId="0" applyFill="1" applyBorder="1" applyAlignment="1" applyProtection="1">
      <alignment horizontal="center"/>
    </xf>
    <xf numFmtId="0" fontId="0" fillId="0" borderId="52" xfId="0" applyFill="1" applyBorder="1" applyAlignment="1" applyProtection="1">
      <alignment horizontal="center"/>
    </xf>
    <xf numFmtId="0" fontId="3" fillId="7" borderId="10" xfId="0" applyFont="1" applyFill="1" applyBorder="1" applyProtection="1"/>
    <xf numFmtId="0" fontId="3" fillId="8" borderId="10" xfId="0" applyFont="1" applyFill="1" applyBorder="1" applyProtection="1"/>
    <xf numFmtId="0" fontId="3" fillId="5" borderId="35" xfId="0" applyFont="1" applyFill="1" applyBorder="1" applyProtection="1"/>
    <xf numFmtId="0" fontId="0" fillId="10" borderId="13" xfId="0" applyFill="1" applyBorder="1" applyProtection="1"/>
    <xf numFmtId="0" fontId="0" fillId="10" borderId="20" xfId="0" applyFill="1" applyBorder="1" applyProtection="1"/>
    <xf numFmtId="0" fontId="0" fillId="10" borderId="24" xfId="0" applyFill="1" applyBorder="1" applyProtection="1"/>
    <xf numFmtId="0" fontId="1" fillId="7" borderId="11" xfId="0" applyFont="1" applyFill="1" applyBorder="1" applyProtection="1"/>
    <xf numFmtId="0" fontId="1" fillId="8" borderId="11" xfId="0" applyFont="1" applyFill="1" applyBorder="1" applyProtection="1"/>
    <xf numFmtId="0" fontId="1" fillId="5" borderId="11" xfId="0" applyFont="1" applyFill="1" applyBorder="1" applyProtection="1"/>
    <xf numFmtId="0" fontId="7" fillId="0" borderId="40" xfId="0" applyFont="1" applyBorder="1" applyAlignment="1" applyProtection="1">
      <alignment vertical="center"/>
    </xf>
    <xf numFmtId="0" fontId="10" fillId="0" borderId="43" xfId="0" applyFont="1" applyBorder="1" applyAlignment="1" applyProtection="1">
      <alignment vertical="center"/>
    </xf>
    <xf numFmtId="0" fontId="7" fillId="0" borderId="4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5" fontId="7" fillId="0" borderId="0" xfId="0" applyNumberFormat="1" applyFont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/>
    <xf numFmtId="0" fontId="5" fillId="0" borderId="24" xfId="0" applyFont="1" applyBorder="1" applyAlignment="1" applyProtection="1"/>
    <xf numFmtId="0" fontId="1" fillId="0" borderId="46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0" fillId="0" borderId="4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3" fillId="0" borderId="6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0" fillId="3" borderId="33" xfId="0" applyFill="1" applyBorder="1" applyAlignment="1" applyProtection="1">
      <alignment horizontal="center"/>
    </xf>
    <xf numFmtId="0" fontId="0" fillId="2" borderId="33" xfId="0" applyFill="1" applyBorder="1" applyAlignment="1" applyProtection="1">
      <alignment horizontal="center"/>
    </xf>
    <xf numFmtId="0" fontId="0" fillId="6" borderId="33" xfId="0" applyFill="1" applyBorder="1" applyAlignment="1" applyProtection="1">
      <alignment horizontal="center"/>
    </xf>
    <xf numFmtId="0" fontId="0" fillId="9" borderId="33" xfId="0" applyFill="1" applyBorder="1" applyAlignment="1" applyProtection="1">
      <alignment horizontal="center"/>
    </xf>
    <xf numFmtId="20" fontId="7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11" borderId="32" xfId="0" applyFill="1" applyBorder="1" applyProtection="1"/>
    <xf numFmtId="0" fontId="3" fillId="8" borderId="27" xfId="0" applyFont="1" applyFill="1" applyBorder="1" applyProtection="1"/>
    <xf numFmtId="0" fontId="3" fillId="8" borderId="28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7" fillId="0" borderId="5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165" fontId="0" fillId="0" borderId="41" xfId="0" applyNumberFormat="1" applyBorder="1" applyProtection="1"/>
    <xf numFmtId="0" fontId="3" fillId="0" borderId="42" xfId="0" applyFont="1" applyFill="1" applyBorder="1" applyAlignment="1" applyProtection="1"/>
    <xf numFmtId="0" fontId="0" fillId="11" borderId="32" xfId="0" applyFill="1" applyBorder="1" applyProtection="1">
      <protection locked="0"/>
    </xf>
    <xf numFmtId="0" fontId="0" fillId="0" borderId="44" xfId="0" applyFill="1" applyBorder="1" applyProtection="1">
      <protection locked="0"/>
    </xf>
    <xf numFmtId="165" fontId="7" fillId="0" borderId="44" xfId="0" applyNumberFormat="1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vertical="center"/>
    </xf>
    <xf numFmtId="165" fontId="0" fillId="0" borderId="0" xfId="0" applyNumberFormat="1" applyBorder="1" applyProtection="1"/>
    <xf numFmtId="0" fontId="1" fillId="0" borderId="40" xfId="0" applyFont="1" applyBorder="1" applyProtection="1"/>
    <xf numFmtId="0" fontId="1" fillId="0" borderId="3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7" fillId="0" borderId="0" xfId="1" applyFont="1"/>
    <xf numFmtId="0" fontId="16" fillId="0" borderId="42" xfId="1" applyFont="1" applyFill="1" applyBorder="1" applyAlignment="1">
      <alignment horizontal="left" vertical="center"/>
    </xf>
    <xf numFmtId="0" fontId="17" fillId="0" borderId="42" xfId="1" applyFont="1" applyBorder="1"/>
    <xf numFmtId="0" fontId="17" fillId="0" borderId="39" xfId="1" applyFont="1" applyBorder="1"/>
    <xf numFmtId="0" fontId="1" fillId="14" borderId="46" xfId="0" applyFont="1" applyFill="1" applyBorder="1" applyProtection="1"/>
    <xf numFmtId="165" fontId="0" fillId="14" borderId="18" xfId="0" applyNumberFormat="1" applyFill="1" applyBorder="1" applyProtection="1"/>
    <xf numFmtId="165" fontId="0" fillId="14" borderId="19" xfId="0" applyNumberFormat="1" applyFill="1" applyBorder="1" applyProtection="1"/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20" fontId="8" fillId="10" borderId="30" xfId="0" applyNumberFormat="1" applyFont="1" applyFill="1" applyBorder="1" applyAlignment="1" applyProtection="1">
      <alignment vertical="center"/>
      <protection locked="0"/>
    </xf>
    <xf numFmtId="165" fontId="5" fillId="10" borderId="31" xfId="0" applyNumberFormat="1" applyFont="1" applyFill="1" applyBorder="1" applyAlignment="1" applyProtection="1"/>
    <xf numFmtId="0" fontId="9" fillId="10" borderId="32" xfId="0" applyFont="1" applyFill="1" applyBorder="1" applyAlignment="1" applyProtection="1"/>
    <xf numFmtId="0" fontId="3" fillId="8" borderId="27" xfId="0" applyFont="1" applyFill="1" applyBorder="1" applyAlignment="1" applyProtection="1">
      <alignment horizontal="center"/>
      <protection locked="0"/>
    </xf>
    <xf numFmtId="0" fontId="3" fillId="8" borderId="28" xfId="0" applyFont="1" applyFill="1" applyBorder="1" applyAlignment="1" applyProtection="1">
      <alignment horizontal="center"/>
      <protection locked="0"/>
    </xf>
    <xf numFmtId="0" fontId="1" fillId="6" borderId="17" xfId="0" applyFont="1" applyFill="1" applyBorder="1" applyProtection="1"/>
    <xf numFmtId="0" fontId="0" fillId="6" borderId="18" xfId="0" applyFill="1" applyBorder="1" applyAlignment="1" applyProtection="1">
      <alignment horizontal="center"/>
    </xf>
    <xf numFmtId="0" fontId="0" fillId="6" borderId="50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0" fontId="1" fillId="5" borderId="46" xfId="0" applyFont="1" applyFill="1" applyBorder="1" applyProtection="1"/>
    <xf numFmtId="165" fontId="0" fillId="5" borderId="18" xfId="0" applyNumberFormat="1" applyFill="1" applyBorder="1" applyProtection="1"/>
    <xf numFmtId="165" fontId="0" fillId="5" borderId="19" xfId="0" applyNumberFormat="1" applyFill="1" applyBorder="1" applyProtection="1"/>
    <xf numFmtId="0" fontId="0" fillId="0" borderId="50" xfId="0" applyFill="1" applyBorder="1" applyAlignment="1" applyProtection="1">
      <alignment horizontal="center"/>
    </xf>
    <xf numFmtId="0" fontId="1" fillId="7" borderId="65" xfId="0" applyFont="1" applyFill="1" applyBorder="1" applyProtection="1"/>
    <xf numFmtId="165" fontId="0" fillId="7" borderId="15" xfId="0" applyNumberFormat="1" applyFill="1" applyBorder="1" applyProtection="1"/>
    <xf numFmtId="165" fontId="0" fillId="7" borderId="16" xfId="0" applyNumberFormat="1" applyFill="1" applyBorder="1" applyProtection="1"/>
    <xf numFmtId="0" fontId="3" fillId="7" borderId="6" xfId="0" applyFont="1" applyFill="1" applyBorder="1" applyProtection="1"/>
    <xf numFmtId="0" fontId="3" fillId="7" borderId="7" xfId="0" applyFont="1" applyFill="1" applyBorder="1" applyProtection="1"/>
    <xf numFmtId="0" fontId="3" fillId="7" borderId="8" xfId="0" applyFont="1" applyFill="1" applyBorder="1" applyProtection="1"/>
    <xf numFmtId="0" fontId="3" fillId="5" borderId="28" xfId="0" applyFont="1" applyFill="1" applyBorder="1" applyProtection="1"/>
    <xf numFmtId="20" fontId="8" fillId="0" borderId="31" xfId="0" applyNumberFormat="1" applyFont="1" applyFill="1" applyBorder="1" applyAlignment="1" applyProtection="1">
      <alignment vertical="center"/>
    </xf>
    <xf numFmtId="20" fontId="8" fillId="0" borderId="30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/>
    <xf numFmtId="0" fontId="1" fillId="2" borderId="44" xfId="0" applyFont="1" applyFill="1" applyBorder="1" applyAlignment="1" applyProtection="1"/>
    <xf numFmtId="0" fontId="1" fillId="6" borderId="46" xfId="0" applyFont="1" applyFill="1" applyBorder="1" applyProtection="1"/>
    <xf numFmtId="0" fontId="16" fillId="0" borderId="20" xfId="1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/>
    </xf>
    <xf numFmtId="0" fontId="4" fillId="0" borderId="39" xfId="0" applyFont="1" applyBorder="1" applyAlignment="1" applyProtection="1">
      <protection locked="0"/>
    </xf>
    <xf numFmtId="0" fontId="7" fillId="0" borderId="43" xfId="0" applyFont="1" applyBorder="1"/>
    <xf numFmtId="0" fontId="7" fillId="0" borderId="0" xfId="0" applyFont="1" applyBorder="1"/>
    <xf numFmtId="0" fontId="7" fillId="0" borderId="40" xfId="0" applyFont="1" applyBorder="1"/>
    <xf numFmtId="0" fontId="7" fillId="0" borderId="52" xfId="0" applyFont="1" applyBorder="1"/>
    <xf numFmtId="0" fontId="7" fillId="0" borderId="44" xfId="0" applyFont="1" applyBorder="1"/>
    <xf numFmtId="0" fontId="7" fillId="0" borderId="41" xfId="0" applyFont="1" applyBorder="1"/>
    <xf numFmtId="0" fontId="17" fillId="0" borderId="46" xfId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5" fillId="0" borderId="20" xfId="0" applyFont="1" applyBorder="1" applyAlignment="1" applyProtection="1"/>
    <xf numFmtId="0" fontId="3" fillId="0" borderId="44" xfId="0" applyFont="1" applyFill="1" applyBorder="1" applyAlignment="1" applyProtection="1">
      <alignment horizontal="left"/>
    </xf>
    <xf numFmtId="0" fontId="1" fillId="0" borderId="6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66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 wrapText="1"/>
    </xf>
    <xf numFmtId="0" fontId="1" fillId="0" borderId="5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165" fontId="7" fillId="0" borderId="0" xfId="0" applyNumberFormat="1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165" fontId="7" fillId="0" borderId="44" xfId="0" applyNumberFormat="1" applyFont="1" applyBorder="1" applyAlignment="1" applyProtection="1">
      <alignment horizontal="center" vertical="center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5" fillId="0" borderId="20" xfId="0" applyFont="1" applyBorder="1" applyAlignment="1" applyProtection="1"/>
    <xf numFmtId="0" fontId="1" fillId="0" borderId="46" xfId="0" applyFont="1" applyFill="1" applyBorder="1" applyAlignment="1" applyProtection="1">
      <alignment horizontal="center"/>
    </xf>
    <xf numFmtId="0" fontId="5" fillId="0" borderId="24" xfId="0" applyFont="1" applyBorder="1" applyAlignment="1" applyProtection="1"/>
    <xf numFmtId="0" fontId="3" fillId="0" borderId="44" xfId="0" applyFont="1" applyFill="1" applyBorder="1" applyAlignment="1" applyProtection="1">
      <alignment horizontal="left"/>
    </xf>
    <xf numFmtId="0" fontId="17" fillId="0" borderId="1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0" fontId="5" fillId="0" borderId="20" xfId="0" applyFont="1" applyBorder="1" applyAlignment="1" applyProtection="1"/>
    <xf numFmtId="0" fontId="5" fillId="0" borderId="24" xfId="0" applyFont="1" applyBorder="1" applyAlignment="1" applyProtection="1"/>
    <xf numFmtId="0" fontId="0" fillId="0" borderId="20" xfId="0" applyBorder="1" applyAlignment="1" applyProtection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16" fillId="0" borderId="44" xfId="1" applyFont="1" applyFill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1" fillId="0" borderId="5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7" fillId="0" borderId="44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20" fontId="8" fillId="0" borderId="0" xfId="0" applyNumberFormat="1" applyFont="1" applyBorder="1" applyAlignment="1" applyProtection="1">
      <alignment horizontal="center" vertical="center"/>
      <protection locked="0"/>
    </xf>
    <xf numFmtId="0" fontId="0" fillId="0" borderId="48" xfId="0" applyBorder="1" applyProtection="1"/>
    <xf numFmtId="0" fontId="10" fillId="0" borderId="0" xfId="0" applyFont="1" applyBorder="1" applyAlignment="1" applyProtection="1">
      <alignment vertical="center"/>
    </xf>
    <xf numFmtId="0" fontId="0" fillId="0" borderId="52" xfId="0" applyBorder="1" applyProtection="1"/>
    <xf numFmtId="20" fontId="8" fillId="0" borderId="44" xfId="0" applyNumberFormat="1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/>
    <xf numFmtId="20" fontId="8" fillId="0" borderId="44" xfId="0" applyNumberFormat="1" applyFont="1" applyBorder="1" applyAlignment="1" applyProtection="1">
      <alignment vertical="center"/>
    </xf>
    <xf numFmtId="0" fontId="1" fillId="7" borderId="4" xfId="0" applyFont="1" applyFill="1" applyBorder="1" applyProtection="1"/>
    <xf numFmtId="0" fontId="1" fillId="8" borderId="3" xfId="0" applyFont="1" applyFill="1" applyBorder="1" applyAlignment="1" applyProtection="1">
      <alignment horizontal="right"/>
    </xf>
    <xf numFmtId="0" fontId="1" fillId="8" borderId="4" xfId="0" applyFont="1" applyFill="1" applyBorder="1" applyProtection="1"/>
    <xf numFmtId="0" fontId="1" fillId="5" borderId="3" xfId="0" applyFont="1" applyFill="1" applyBorder="1" applyAlignment="1" applyProtection="1">
      <alignment horizontal="right"/>
    </xf>
    <xf numFmtId="0" fontId="0" fillId="7" borderId="6" xfId="0" applyFill="1" applyBorder="1" applyProtection="1"/>
    <xf numFmtId="165" fontId="0" fillId="7" borderId="1" xfId="0" applyNumberFormat="1" applyFill="1" applyBorder="1" applyProtection="1"/>
    <xf numFmtId="0" fontId="0" fillId="8" borderId="6" xfId="0" applyFill="1" applyBorder="1" applyProtection="1"/>
    <xf numFmtId="165" fontId="0" fillId="8" borderId="1" xfId="0" applyNumberFormat="1" applyFill="1" applyBorder="1" applyProtection="1"/>
    <xf numFmtId="0" fontId="3" fillId="8" borderId="7" xfId="0" applyFont="1" applyFill="1" applyBorder="1" applyProtection="1"/>
    <xf numFmtId="0" fontId="0" fillId="5" borderId="6" xfId="0" applyFill="1" applyBorder="1" applyProtection="1"/>
    <xf numFmtId="0" fontId="0" fillId="7" borderId="8" xfId="0" applyFill="1" applyBorder="1" applyProtection="1"/>
    <xf numFmtId="165" fontId="0" fillId="7" borderId="9" xfId="0" applyNumberFormat="1" applyFill="1" applyBorder="1" applyProtection="1"/>
    <xf numFmtId="0" fontId="0" fillId="8" borderId="8" xfId="0" applyFill="1" applyBorder="1" applyAlignment="1" applyProtection="1">
      <alignment horizontal="right"/>
    </xf>
    <xf numFmtId="165" fontId="0" fillId="8" borderId="9" xfId="0" applyNumberFormat="1" applyFill="1" applyBorder="1" applyProtection="1"/>
    <xf numFmtId="0" fontId="0" fillId="5" borderId="8" xfId="0" applyFill="1" applyBorder="1" applyAlignment="1" applyProtection="1">
      <alignment horizontal="right"/>
    </xf>
    <xf numFmtId="0" fontId="3" fillId="7" borderId="27" xfId="0" applyFont="1" applyFill="1" applyBorder="1" applyProtection="1"/>
    <xf numFmtId="0" fontId="3" fillId="7" borderId="28" xfId="0" applyFont="1" applyFill="1" applyBorder="1" applyProtection="1"/>
    <xf numFmtId="0" fontId="0" fillId="8" borderId="6" xfId="0" applyFill="1" applyBorder="1" applyAlignment="1" applyProtection="1">
      <alignment horizontal="right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10" borderId="40" xfId="0" applyFill="1" applyBorder="1" applyProtection="1"/>
    <xf numFmtId="20" fontId="6" fillId="0" borderId="0" xfId="0" applyNumberFormat="1" applyFont="1" applyBorder="1" applyAlignment="1" applyProtection="1">
      <alignment vertical="center"/>
    </xf>
    <xf numFmtId="0" fontId="0" fillId="11" borderId="20" xfId="0" applyFill="1" applyBorder="1" applyAlignment="1" applyProtection="1"/>
    <xf numFmtId="0" fontId="0" fillId="11" borderId="24" xfId="0" applyFill="1" applyBorder="1" applyAlignment="1" applyProtection="1"/>
    <xf numFmtId="0" fontId="0" fillId="0" borderId="20" xfId="0" applyFill="1" applyBorder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1" fillId="0" borderId="43" xfId="0" applyFont="1" applyBorder="1" applyProtection="1"/>
    <xf numFmtId="0" fontId="1" fillId="8" borderId="46" xfId="0" applyFont="1" applyFill="1" applyBorder="1" applyAlignment="1" applyProtection="1">
      <alignment horizontal="right"/>
    </xf>
    <xf numFmtId="0" fontId="0" fillId="8" borderId="18" xfId="0" applyFill="1" applyBorder="1" applyProtection="1"/>
    <xf numFmtId="0" fontId="0" fillId="8" borderId="19" xfId="0" applyFill="1" applyBorder="1" applyAlignment="1" applyProtection="1">
      <alignment horizontal="right"/>
    </xf>
    <xf numFmtId="0" fontId="0" fillId="8" borderId="18" xfId="0" applyFill="1" applyBorder="1" applyAlignment="1" applyProtection="1">
      <alignment horizontal="right"/>
    </xf>
    <xf numFmtId="0" fontId="0" fillId="0" borderId="19" xfId="0" applyBorder="1" applyProtection="1"/>
    <xf numFmtId="0" fontId="6" fillId="0" borderId="0" xfId="0" applyFont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5" fillId="0" borderId="20" xfId="0" applyFont="1" applyBorder="1" applyAlignment="1" applyProtection="1"/>
    <xf numFmtId="0" fontId="3" fillId="0" borderId="44" xfId="0" applyFont="1" applyFill="1" applyBorder="1" applyAlignment="1" applyProtection="1">
      <alignment horizontal="left"/>
    </xf>
    <xf numFmtId="165" fontId="0" fillId="0" borderId="44" xfId="0" applyNumberFormat="1" applyBorder="1" applyProtection="1"/>
    <xf numFmtId="0" fontId="0" fillId="0" borderId="44" xfId="0" applyBorder="1" applyAlignment="1" applyProtection="1"/>
    <xf numFmtId="20" fontId="11" fillId="0" borderId="44" xfId="0" applyNumberFormat="1" applyFont="1" applyBorder="1" applyAlignment="1" applyProtection="1">
      <alignment vertical="center"/>
      <protection locked="0"/>
    </xf>
    <xf numFmtId="0" fontId="17" fillId="16" borderId="36" xfId="1" applyFont="1" applyFill="1" applyBorder="1" applyAlignment="1">
      <alignment horizontal="center" vertical="center" wrapText="1"/>
    </xf>
    <xf numFmtId="0" fontId="17" fillId="16" borderId="27" xfId="1" applyFont="1" applyFill="1" applyBorder="1" applyAlignment="1">
      <alignment horizontal="center" vertical="center" wrapText="1"/>
    </xf>
    <xf numFmtId="0" fontId="0" fillId="8" borderId="63" xfId="0" applyFill="1" applyBorder="1" applyProtection="1"/>
    <xf numFmtId="0" fontId="1" fillId="8" borderId="30" xfId="0" applyFont="1" applyFill="1" applyBorder="1" applyProtection="1"/>
    <xf numFmtId="0" fontId="1" fillId="8" borderId="46" xfId="0" applyFont="1" applyFill="1" applyBorder="1" applyProtection="1"/>
    <xf numFmtId="165" fontId="0" fillId="8" borderId="18" xfId="0" applyNumberFormat="1" applyFill="1" applyBorder="1" applyProtection="1"/>
    <xf numFmtId="165" fontId="0" fillId="8" borderId="19" xfId="0" applyNumberFormat="1" applyFill="1" applyBorder="1" applyProtection="1"/>
    <xf numFmtId="0" fontId="0" fillId="8" borderId="3" xfId="0" applyFill="1" applyBorder="1" applyProtection="1"/>
    <xf numFmtId="0" fontId="0" fillId="8" borderId="8" xfId="0" applyFill="1" applyBorder="1" applyProtection="1"/>
    <xf numFmtId="0" fontId="0" fillId="7" borderId="63" xfId="0" applyFill="1" applyBorder="1" applyProtection="1"/>
    <xf numFmtId="0" fontId="0" fillId="7" borderId="48" xfId="0" applyFill="1" applyBorder="1" applyProtection="1"/>
    <xf numFmtId="0" fontId="0" fillId="7" borderId="3" xfId="0" applyFill="1" applyBorder="1" applyProtection="1"/>
    <xf numFmtId="0" fontId="0" fillId="0" borderId="3" xfId="0" applyFill="1" applyBorder="1" applyAlignment="1" applyProtection="1">
      <alignment horizontal="center"/>
    </xf>
    <xf numFmtId="165" fontId="0" fillId="7" borderId="4" xfId="0" applyNumberFormat="1" applyFill="1" applyBorder="1" applyProtection="1"/>
    <xf numFmtId="165" fontId="0" fillId="8" borderId="4" xfId="0" applyNumberFormat="1" applyFill="1" applyBorder="1" applyProtection="1"/>
    <xf numFmtId="0" fontId="5" fillId="0" borderId="20" xfId="0" applyFont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vertical="center"/>
    </xf>
    <xf numFmtId="0" fontId="0" fillId="0" borderId="4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17" fillId="0" borderId="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7" fillId="0" borderId="67" xfId="1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165" fontId="7" fillId="0" borderId="44" xfId="0" applyNumberFormat="1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/>
      <protection hidden="1"/>
    </xf>
    <xf numFmtId="0" fontId="12" fillId="0" borderId="41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/>
    <xf numFmtId="0" fontId="5" fillId="0" borderId="24" xfId="0" applyFont="1" applyBorder="1" applyAlignment="1" applyProtection="1"/>
    <xf numFmtId="0" fontId="0" fillId="0" borderId="20" xfId="0" applyBorder="1" applyAlignment="1" applyProtection="1">
      <alignment horizontal="center"/>
    </xf>
    <xf numFmtId="0" fontId="3" fillId="0" borderId="44" xfId="0" applyFont="1" applyFill="1" applyBorder="1" applyAlignment="1" applyProtection="1">
      <alignment horizontal="left"/>
    </xf>
    <xf numFmtId="0" fontId="5" fillId="0" borderId="42" xfId="0" applyFont="1" applyBorder="1" applyAlignment="1" applyProtection="1">
      <alignment horizontal="right"/>
    </xf>
    <xf numFmtId="0" fontId="0" fillId="0" borderId="44" xfId="0" applyFill="1" applyBorder="1" applyAlignment="1" applyProtection="1">
      <alignment horizontal="center"/>
    </xf>
    <xf numFmtId="20" fontId="11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1" fillId="5" borderId="4" xfId="0" applyFont="1" applyFill="1" applyBorder="1" applyProtection="1"/>
    <xf numFmtId="165" fontId="0" fillId="5" borderId="1" xfId="0" applyNumberFormat="1" applyFill="1" applyBorder="1" applyProtection="1"/>
    <xf numFmtId="165" fontId="0" fillId="5" borderId="9" xfId="0" applyNumberFormat="1" applyFill="1" applyBorder="1" applyProtection="1"/>
    <xf numFmtId="0" fontId="0" fillId="5" borderId="3" xfId="0" applyFill="1" applyBorder="1" applyProtection="1"/>
    <xf numFmtId="0" fontId="0" fillId="5" borderId="8" xfId="0" applyFill="1" applyBorder="1" applyProtection="1"/>
    <xf numFmtId="165" fontId="0" fillId="5" borderId="4" xfId="0" applyNumberFormat="1" applyFill="1" applyBorder="1" applyProtection="1"/>
    <xf numFmtId="0" fontId="0" fillId="5" borderId="63" xfId="0" applyFill="1" applyBorder="1" applyProtection="1"/>
    <xf numFmtId="0" fontId="0" fillId="5" borderId="48" xfId="0" applyFill="1" applyBorder="1" applyProtection="1"/>
    <xf numFmtId="0" fontId="0" fillId="5" borderId="62" xfId="0" applyFill="1" applyBorder="1" applyProtection="1"/>
    <xf numFmtId="0" fontId="0" fillId="8" borderId="62" xfId="0" applyFill="1" applyBorder="1" applyProtection="1"/>
    <xf numFmtId="0" fontId="0" fillId="7" borderId="62" xfId="0" applyFill="1" applyBorder="1" applyProtection="1"/>
    <xf numFmtId="0" fontId="0" fillId="4" borderId="62" xfId="0" applyFill="1" applyBorder="1" applyProtection="1"/>
    <xf numFmtId="0" fontId="0" fillId="4" borderId="63" xfId="0" applyFill="1" applyBorder="1" applyProtection="1"/>
    <xf numFmtId="0" fontId="1" fillId="4" borderId="30" xfId="0" applyFont="1" applyFill="1" applyBorder="1" applyProtection="1"/>
    <xf numFmtId="0" fontId="1" fillId="4" borderId="46" xfId="0" applyFont="1" applyFill="1" applyBorder="1" applyProtection="1"/>
    <xf numFmtId="165" fontId="0" fillId="4" borderId="18" xfId="0" applyNumberFormat="1" applyFill="1" applyBorder="1" applyProtection="1"/>
    <xf numFmtId="165" fontId="0" fillId="4" borderId="19" xfId="0" applyNumberFormat="1" applyFill="1" applyBorder="1" applyProtection="1"/>
    <xf numFmtId="0" fontId="0" fillId="4" borderId="3" xfId="0" applyFill="1" applyBorder="1" applyProtection="1"/>
    <xf numFmtId="0" fontId="1" fillId="4" borderId="4" xfId="0" applyFont="1" applyFill="1" applyBorder="1" applyProtection="1"/>
    <xf numFmtId="0" fontId="0" fillId="4" borderId="6" xfId="0" applyFill="1" applyBorder="1" applyProtection="1"/>
    <xf numFmtId="165" fontId="0" fillId="4" borderId="1" xfId="0" applyNumberFormat="1" applyFill="1" applyBorder="1" applyProtection="1"/>
    <xf numFmtId="0" fontId="0" fillId="4" borderId="8" xfId="0" applyFill="1" applyBorder="1" applyProtection="1"/>
    <xf numFmtId="165" fontId="0" fillId="4" borderId="9" xfId="0" applyNumberFormat="1" applyFill="1" applyBorder="1" applyProtection="1"/>
    <xf numFmtId="165" fontId="0" fillId="4" borderId="4" xfId="0" applyNumberFormat="1" applyFill="1" applyBorder="1" applyProtection="1"/>
    <xf numFmtId="0" fontId="1" fillId="0" borderId="4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0" fillId="18" borderId="6" xfId="0" applyFill="1" applyBorder="1" applyAlignment="1" applyProtection="1">
      <alignment horizontal="center"/>
    </xf>
    <xf numFmtId="0" fontId="0" fillId="18" borderId="8" xfId="0" applyFill="1" applyBorder="1" applyAlignment="1" applyProtection="1">
      <alignment horizontal="center"/>
    </xf>
    <xf numFmtId="0" fontId="0" fillId="4" borderId="0" xfId="0" applyFill="1" applyBorder="1" applyProtection="1"/>
    <xf numFmtId="20" fontId="8" fillId="0" borderId="0" xfId="0" applyNumberFormat="1" applyFont="1" applyBorder="1" applyAlignment="1" applyProtection="1">
      <alignment horizontal="center" vertical="center"/>
    </xf>
    <xf numFmtId="0" fontId="3" fillId="8" borderId="67" xfId="0" applyFont="1" applyFill="1" applyBorder="1" applyProtection="1"/>
    <xf numFmtId="0" fontId="3" fillId="8" borderId="67" xfId="0" applyFont="1" applyFill="1" applyBorder="1" applyAlignment="1" applyProtection="1">
      <alignment horizontal="center"/>
      <protection locked="0"/>
    </xf>
    <xf numFmtId="0" fontId="3" fillId="8" borderId="69" xfId="0" applyFont="1" applyFill="1" applyBorder="1" applyAlignment="1" applyProtection="1">
      <alignment horizontal="center"/>
      <protection locked="0"/>
    </xf>
    <xf numFmtId="0" fontId="0" fillId="4" borderId="43" xfId="0" applyFill="1" applyBorder="1" applyProtection="1"/>
    <xf numFmtId="0" fontId="3" fillId="8" borderId="34" xfId="0" applyFont="1" applyFill="1" applyBorder="1" applyAlignment="1" applyProtection="1">
      <alignment horizontal="center"/>
      <protection locked="0"/>
    </xf>
    <xf numFmtId="0" fontId="3" fillId="8" borderId="35" xfId="0" applyFont="1" applyFill="1" applyBorder="1" applyAlignment="1" applyProtection="1">
      <alignment horizontal="center"/>
      <protection locked="0"/>
    </xf>
    <xf numFmtId="0" fontId="3" fillId="5" borderId="34" xfId="0" applyFont="1" applyFill="1" applyBorder="1" applyAlignment="1" applyProtection="1">
      <alignment horizontal="center"/>
      <protection locked="0"/>
    </xf>
    <xf numFmtId="0" fontId="3" fillId="5" borderId="35" xfId="0" applyFont="1" applyFill="1" applyBorder="1" applyAlignment="1" applyProtection="1">
      <alignment horizontal="center"/>
      <protection locked="0"/>
    </xf>
    <xf numFmtId="20" fontId="8" fillId="0" borderId="0" xfId="0" applyNumberFormat="1" applyFont="1" applyFill="1" applyBorder="1" applyAlignment="1" applyProtection="1">
      <alignment horizontal="center" vertical="center"/>
    </xf>
    <xf numFmtId="0" fontId="5" fillId="0" borderId="31" xfId="0" applyFont="1" applyBorder="1" applyAlignment="1" applyProtection="1"/>
    <xf numFmtId="0" fontId="5" fillId="0" borderId="32" xfId="0" applyFont="1" applyBorder="1" applyAlignment="1" applyProtection="1"/>
    <xf numFmtId="20" fontId="8" fillId="0" borderId="30" xfId="0" applyNumberFormat="1" applyFont="1" applyBorder="1" applyAlignment="1" applyProtection="1">
      <alignment vertical="center"/>
    </xf>
    <xf numFmtId="20" fontId="8" fillId="0" borderId="31" xfId="0" applyNumberFormat="1" applyFont="1" applyBorder="1" applyAlignment="1" applyProtection="1">
      <alignment vertical="center"/>
    </xf>
    <xf numFmtId="20" fontId="8" fillId="0" borderId="32" xfId="0" applyNumberFormat="1" applyFont="1" applyBorder="1" applyAlignment="1" applyProtection="1">
      <alignment vertical="center"/>
    </xf>
    <xf numFmtId="0" fontId="17" fillId="0" borderId="7" xfId="1" applyFont="1" applyBorder="1" applyAlignment="1">
      <alignment horizontal="center" vertical="center" wrapText="1"/>
    </xf>
    <xf numFmtId="0" fontId="3" fillId="7" borderId="34" xfId="0" applyFont="1" applyFill="1" applyBorder="1" applyAlignment="1" applyProtection="1">
      <alignment horizontal="center"/>
      <protection locked="0"/>
    </xf>
    <xf numFmtId="0" fontId="3" fillId="7" borderId="35" xfId="0" applyFont="1" applyFill="1" applyBorder="1" applyAlignment="1" applyProtection="1">
      <alignment horizontal="center"/>
      <protection locked="0"/>
    </xf>
    <xf numFmtId="0" fontId="3" fillId="7" borderId="67" xfId="0" applyFont="1" applyFill="1" applyBorder="1" applyProtection="1"/>
    <xf numFmtId="0" fontId="3" fillId="7" borderId="67" xfId="0" applyFont="1" applyFill="1" applyBorder="1" applyAlignment="1" applyProtection="1">
      <alignment horizontal="center"/>
      <protection locked="0"/>
    </xf>
    <xf numFmtId="0" fontId="3" fillId="7" borderId="69" xfId="0" applyFont="1" applyFill="1" applyBorder="1" applyAlignment="1" applyProtection="1">
      <alignment horizontal="center"/>
      <protection locked="0"/>
    </xf>
    <xf numFmtId="0" fontId="3" fillId="5" borderId="67" xfId="0" applyFont="1" applyFill="1" applyBorder="1" applyProtection="1"/>
    <xf numFmtId="0" fontId="3" fillId="5" borderId="67" xfId="0" applyFont="1" applyFill="1" applyBorder="1" applyAlignment="1" applyProtection="1">
      <alignment horizontal="center"/>
      <protection locked="0"/>
    </xf>
    <xf numFmtId="0" fontId="3" fillId="5" borderId="69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/>
    <xf numFmtId="0" fontId="5" fillId="0" borderId="39" xfId="0" applyFont="1" applyFill="1" applyBorder="1" applyAlignment="1" applyProtection="1"/>
    <xf numFmtId="0" fontId="0" fillId="0" borderId="42" xfId="0" applyBorder="1" applyAlignment="1" applyProtection="1"/>
    <xf numFmtId="0" fontId="0" fillId="0" borderId="42" xfId="0" applyFill="1" applyBorder="1" applyAlignment="1" applyProtection="1"/>
    <xf numFmtId="0" fontId="0" fillId="0" borderId="0" xfId="0" applyFill="1" applyBorder="1" applyAlignment="1" applyProtection="1"/>
    <xf numFmtId="0" fontId="0" fillId="0" borderId="44" xfId="0" applyFill="1" applyBorder="1" applyAlignment="1" applyProtection="1"/>
    <xf numFmtId="0" fontId="1" fillId="0" borderId="42" xfId="0" applyFont="1" applyFill="1" applyBorder="1" applyAlignment="1" applyProtection="1"/>
    <xf numFmtId="0" fontId="1" fillId="0" borderId="44" xfId="0" applyFont="1" applyFill="1" applyBorder="1" applyAlignment="1" applyProtection="1"/>
    <xf numFmtId="165" fontId="0" fillId="7" borderId="72" xfId="0" applyNumberFormat="1" applyFill="1" applyBorder="1" applyProtection="1"/>
    <xf numFmtId="0" fontId="3" fillId="7" borderId="47" xfId="0" applyFont="1" applyFill="1" applyBorder="1" applyProtection="1"/>
    <xf numFmtId="0" fontId="3" fillId="7" borderId="47" xfId="0" applyFont="1" applyFill="1" applyBorder="1" applyAlignment="1" applyProtection="1">
      <alignment horizontal="center"/>
      <protection locked="0"/>
    </xf>
    <xf numFmtId="0" fontId="3" fillId="7" borderId="73" xfId="0" applyFont="1" applyFill="1" applyBorder="1" applyAlignment="1" applyProtection="1">
      <alignment horizontal="center"/>
      <protection locked="0"/>
    </xf>
    <xf numFmtId="0" fontId="3" fillId="4" borderId="67" xfId="0" applyFont="1" applyFill="1" applyBorder="1" applyProtection="1"/>
    <xf numFmtId="0" fontId="3" fillId="4" borderId="67" xfId="0" applyFont="1" applyFill="1" applyBorder="1" applyAlignment="1" applyProtection="1">
      <alignment horizontal="center"/>
      <protection locked="0"/>
    </xf>
    <xf numFmtId="0" fontId="3" fillId="4" borderId="69" xfId="0" applyFont="1" applyFill="1" applyBorder="1" applyAlignment="1" applyProtection="1">
      <alignment horizontal="center"/>
      <protection locked="0"/>
    </xf>
    <xf numFmtId="0" fontId="3" fillId="4" borderId="34" xfId="0" applyFont="1" applyFill="1" applyBorder="1" applyAlignment="1" applyProtection="1">
      <alignment horizontal="center"/>
      <protection locked="0"/>
    </xf>
    <xf numFmtId="0" fontId="3" fillId="4" borderId="35" xfId="0" applyFont="1" applyFill="1" applyBorder="1" applyAlignment="1" applyProtection="1">
      <alignment horizontal="center"/>
      <protection locked="0"/>
    </xf>
    <xf numFmtId="0" fontId="3" fillId="8" borderId="18" xfId="0" applyFont="1" applyFill="1" applyBorder="1" applyProtection="1"/>
    <xf numFmtId="0" fontId="3" fillId="8" borderId="71" xfId="0" applyFont="1" applyFill="1" applyBorder="1" applyProtection="1"/>
    <xf numFmtId="20" fontId="11" fillId="0" borderId="44" xfId="0" applyNumberFormat="1" applyFont="1" applyBorder="1" applyAlignment="1" applyProtection="1">
      <alignment vertical="center"/>
    </xf>
    <xf numFmtId="0" fontId="1" fillId="18" borderId="3" xfId="0" applyFont="1" applyFill="1" applyBorder="1" applyProtection="1"/>
    <xf numFmtId="0" fontId="17" fillId="0" borderId="10" xfId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6" borderId="27" xfId="1" applyFont="1" applyFill="1" applyBorder="1" applyAlignment="1">
      <alignment horizontal="center" vertical="center" wrapText="1"/>
    </xf>
    <xf numFmtId="0" fontId="17" fillId="16" borderId="27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 wrapText="1"/>
    </xf>
    <xf numFmtId="0" fontId="17" fillId="0" borderId="4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49" xfId="1" applyFont="1" applyBorder="1" applyAlignment="1">
      <alignment horizontal="center" vertical="center"/>
    </xf>
    <xf numFmtId="0" fontId="17" fillId="0" borderId="47" xfId="1" applyFont="1" applyBorder="1" applyAlignment="1">
      <alignment horizontal="center" vertical="center"/>
    </xf>
    <xf numFmtId="0" fontId="17" fillId="0" borderId="67" xfId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7" fillId="0" borderId="70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74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7" fillId="0" borderId="71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165" fontId="5" fillId="0" borderId="20" xfId="0" applyNumberFormat="1" applyFont="1" applyFill="1" applyBorder="1" applyAlignment="1" applyProtection="1">
      <alignment horizontal="center"/>
    </xf>
    <xf numFmtId="165" fontId="5" fillId="0" borderId="24" xfId="0" applyNumberFormat="1" applyFont="1" applyFill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1" fillId="14" borderId="36" xfId="0" applyFont="1" applyFill="1" applyBorder="1" applyAlignment="1" applyProtection="1">
      <alignment horizontal="center"/>
    </xf>
    <xf numFmtId="0" fontId="1" fillId="14" borderId="37" xfId="0" applyFont="1" applyFill="1" applyBorder="1" applyAlignment="1" applyProtection="1">
      <alignment horizontal="center"/>
    </xf>
    <xf numFmtId="0" fontId="1" fillId="14" borderId="46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right"/>
    </xf>
    <xf numFmtId="0" fontId="5" fillId="0" borderId="20" xfId="0" applyFont="1" applyBorder="1" applyAlignment="1" applyProtection="1">
      <alignment horizontal="center"/>
    </xf>
    <xf numFmtId="20" fontId="11" fillId="0" borderId="13" xfId="0" applyNumberFormat="1" applyFont="1" applyBorder="1" applyAlignment="1" applyProtection="1">
      <alignment horizontal="center" vertical="center"/>
      <protection locked="0"/>
    </xf>
    <xf numFmtId="20" fontId="11" fillId="0" borderId="24" xfId="0" applyNumberFormat="1" applyFont="1" applyBorder="1" applyAlignment="1" applyProtection="1">
      <alignment horizontal="center" vertical="center"/>
      <protection locked="0"/>
    </xf>
    <xf numFmtId="0" fontId="1" fillId="14" borderId="4" xfId="0" applyFont="1" applyFill="1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1" fillId="14" borderId="5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5" fillId="0" borderId="13" xfId="0" applyFont="1" applyBorder="1" applyAlignment="1" applyProtection="1">
      <alignment horizontal="right"/>
    </xf>
    <xf numFmtId="165" fontId="5" fillId="0" borderId="13" xfId="0" applyNumberFormat="1" applyFont="1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left"/>
    </xf>
    <xf numFmtId="1" fontId="3" fillId="0" borderId="9" xfId="0" applyNumberFormat="1" applyFont="1" applyFill="1" applyBorder="1" applyAlignment="1" applyProtection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1" fillId="8" borderId="5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1" fontId="3" fillId="3" borderId="28" xfId="0" applyNumberFormat="1" applyFont="1" applyFill="1" applyBorder="1" applyAlignment="1" applyProtection="1">
      <alignment horizontal="center"/>
    </xf>
    <xf numFmtId="1" fontId="3" fillId="3" borderId="38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1" fontId="3" fillId="2" borderId="28" xfId="0" applyNumberFormat="1" applyFont="1" applyFill="1" applyBorder="1" applyAlignment="1" applyProtection="1">
      <alignment horizontal="center"/>
    </xf>
    <xf numFmtId="1" fontId="3" fillId="2" borderId="38" xfId="0" applyNumberFormat="1" applyFont="1" applyFill="1" applyBorder="1" applyAlignment="1" applyProtection="1">
      <alignment horizontal="center"/>
    </xf>
    <xf numFmtId="1" fontId="3" fillId="3" borderId="27" xfId="0" applyNumberFormat="1" applyFont="1" applyFill="1" applyBorder="1" applyAlignment="1" applyProtection="1">
      <alignment horizontal="center"/>
    </xf>
    <xf numFmtId="1" fontId="3" fillId="3" borderId="2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1" fontId="3" fillId="2" borderId="27" xfId="0" applyNumberFormat="1" applyFont="1" applyFill="1" applyBorder="1" applyAlignment="1" applyProtection="1">
      <alignment horizontal="center"/>
    </xf>
    <xf numFmtId="1" fontId="3" fillId="2" borderId="26" xfId="0" applyNumberFormat="1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left"/>
      <protection locked="0"/>
    </xf>
    <xf numFmtId="0" fontId="3" fillId="0" borderId="42" xfId="0" applyFont="1" applyFill="1" applyBorder="1" applyAlignment="1" applyProtection="1">
      <alignment horizontal="right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2" fillId="12" borderId="13" xfId="0" applyNumberFormat="1" applyFont="1" applyFill="1" applyBorder="1" applyAlignment="1" applyProtection="1">
      <alignment horizontal="center" vertical="center"/>
      <protection locked="0"/>
    </xf>
    <xf numFmtId="165" fontId="2" fillId="12" borderId="20" xfId="0" applyNumberFormat="1" applyFont="1" applyFill="1" applyBorder="1" applyAlignment="1" applyProtection="1">
      <alignment horizontal="center" vertical="center"/>
      <protection locked="0"/>
    </xf>
    <xf numFmtId="165" fontId="2" fillId="12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20" fontId="6" fillId="0" borderId="0" xfId="0" applyNumberFormat="1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0" fontId="1" fillId="13" borderId="4" xfId="0" applyFont="1" applyFill="1" applyBorder="1" applyAlignment="1" applyProtection="1">
      <alignment horizontal="center"/>
    </xf>
    <xf numFmtId="0" fontId="1" fillId="13" borderId="5" xfId="0" applyFont="1" applyFill="1" applyBorder="1" applyAlignment="1" applyProtection="1">
      <alignment horizontal="center"/>
    </xf>
    <xf numFmtId="1" fontId="3" fillId="0" borderId="28" xfId="0" applyNumberFormat="1" applyFont="1" applyFill="1" applyBorder="1" applyAlignment="1" applyProtection="1">
      <alignment horizontal="center"/>
    </xf>
    <xf numFmtId="165" fontId="5" fillId="0" borderId="42" xfId="0" applyNumberFormat="1" applyFont="1" applyFill="1" applyBorder="1" applyAlignment="1" applyProtection="1">
      <alignment horizontal="center"/>
    </xf>
    <xf numFmtId="165" fontId="5" fillId="0" borderId="39" xfId="0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1" fontId="3" fillId="0" borderId="27" xfId="0" applyNumberFormat="1" applyFont="1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</xf>
    <xf numFmtId="0" fontId="1" fillId="0" borderId="36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0" fontId="1" fillId="13" borderId="12" xfId="0" applyFont="1" applyFill="1" applyBorder="1" applyAlignment="1" applyProtection="1">
      <alignment horizontal="center"/>
    </xf>
    <xf numFmtId="0" fontId="1" fillId="13" borderId="58" xfId="0" applyFont="1" applyFill="1" applyBorder="1" applyAlignment="1" applyProtection="1">
      <alignment horizontal="center"/>
    </xf>
    <xf numFmtId="0" fontId="1" fillId="14" borderId="12" xfId="0" applyFont="1" applyFill="1" applyBorder="1" applyAlignment="1" applyProtection="1">
      <alignment horizontal="center"/>
    </xf>
    <xf numFmtId="0" fontId="1" fillId="14" borderId="58" xfId="0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165" fontId="5" fillId="0" borderId="48" xfId="0" applyNumberFormat="1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</xf>
    <xf numFmtId="0" fontId="3" fillId="9" borderId="28" xfId="0" applyFont="1" applyFill="1" applyBorder="1" applyAlignment="1" applyProtection="1">
      <alignment horizontal="left"/>
      <protection locked="0"/>
    </xf>
    <xf numFmtId="0" fontId="3" fillId="9" borderId="23" xfId="0" applyFont="1" applyFill="1" applyBorder="1" applyAlignment="1" applyProtection="1">
      <alignment horizontal="left"/>
      <protection locked="0"/>
    </xf>
    <xf numFmtId="1" fontId="3" fillId="9" borderId="28" xfId="0" applyNumberFormat="1" applyFont="1" applyFill="1" applyBorder="1" applyAlignment="1" applyProtection="1">
      <alignment horizontal="center"/>
    </xf>
    <xf numFmtId="1" fontId="3" fillId="9" borderId="38" xfId="0" applyNumberFormat="1" applyFont="1" applyFill="1" applyBorder="1" applyAlignment="1" applyProtection="1">
      <alignment horizontal="center"/>
    </xf>
    <xf numFmtId="0" fontId="3" fillId="6" borderId="28" xfId="0" applyFont="1" applyFill="1" applyBorder="1" applyAlignment="1" applyProtection="1">
      <alignment horizontal="left"/>
      <protection locked="0"/>
    </xf>
    <xf numFmtId="0" fontId="3" fillId="6" borderId="23" xfId="0" applyFont="1" applyFill="1" applyBorder="1" applyAlignment="1" applyProtection="1">
      <alignment horizontal="left"/>
      <protection locked="0"/>
    </xf>
    <xf numFmtId="1" fontId="3" fillId="6" borderId="28" xfId="0" applyNumberFormat="1" applyFont="1" applyFill="1" applyBorder="1" applyAlignment="1" applyProtection="1">
      <alignment horizontal="center"/>
    </xf>
    <xf numFmtId="1" fontId="3" fillId="6" borderId="38" xfId="0" applyNumberFormat="1" applyFont="1" applyFill="1" applyBorder="1" applyAlignment="1" applyProtection="1">
      <alignment horizontal="center"/>
    </xf>
    <xf numFmtId="0" fontId="3" fillId="9" borderId="27" xfId="0" applyFont="1" applyFill="1" applyBorder="1" applyAlignment="1" applyProtection="1">
      <alignment horizontal="left"/>
      <protection locked="0"/>
    </xf>
    <xf numFmtId="0" fontId="3" fillId="9" borderId="22" xfId="0" applyFont="1" applyFill="1" applyBorder="1" applyAlignment="1" applyProtection="1">
      <alignment horizontal="left"/>
      <protection locked="0"/>
    </xf>
    <xf numFmtId="1" fontId="3" fillId="9" borderId="27" xfId="0" applyNumberFormat="1" applyFont="1" applyFill="1" applyBorder="1" applyAlignment="1" applyProtection="1">
      <alignment horizontal="center"/>
    </xf>
    <xf numFmtId="1" fontId="3" fillId="9" borderId="26" xfId="0" applyNumberFormat="1" applyFont="1" applyFill="1" applyBorder="1" applyAlignment="1" applyProtection="1">
      <alignment horizontal="center"/>
    </xf>
    <xf numFmtId="0" fontId="3" fillId="6" borderId="27" xfId="0" applyFont="1" applyFill="1" applyBorder="1" applyAlignment="1" applyProtection="1">
      <alignment horizontal="left"/>
      <protection locked="0"/>
    </xf>
    <xf numFmtId="0" fontId="3" fillId="6" borderId="22" xfId="0" applyFont="1" applyFill="1" applyBorder="1" applyAlignment="1" applyProtection="1">
      <alignment horizontal="left"/>
      <protection locked="0"/>
    </xf>
    <xf numFmtId="1" fontId="3" fillId="6" borderId="27" xfId="0" applyNumberFormat="1" applyFont="1" applyFill="1" applyBorder="1" applyAlignment="1" applyProtection="1">
      <alignment horizontal="center"/>
    </xf>
    <xf numFmtId="1" fontId="3" fillId="6" borderId="26" xfId="0" applyNumberFormat="1" applyFont="1" applyFill="1" applyBorder="1" applyAlignment="1" applyProtection="1">
      <alignment horizontal="center"/>
    </xf>
    <xf numFmtId="0" fontId="1" fillId="6" borderId="29" xfId="0" applyFont="1" applyFill="1" applyBorder="1" applyAlignment="1" applyProtection="1">
      <alignment horizontal="center"/>
    </xf>
    <xf numFmtId="0" fontId="1" fillId="6" borderId="21" xfId="0" applyFont="1" applyFill="1" applyBorder="1" applyAlignment="1" applyProtection="1">
      <alignment horizontal="center"/>
    </xf>
    <xf numFmtId="0" fontId="1" fillId="6" borderId="25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</xf>
    <xf numFmtId="0" fontId="1" fillId="9" borderId="21" xfId="0" applyFont="1" applyFill="1" applyBorder="1" applyAlignment="1" applyProtection="1">
      <alignment horizontal="center"/>
    </xf>
    <xf numFmtId="0" fontId="1" fillId="9" borderId="25" xfId="0" applyFont="1" applyFill="1" applyBorder="1" applyAlignment="1" applyProtection="1">
      <alignment horizontal="center"/>
    </xf>
    <xf numFmtId="165" fontId="7" fillId="0" borderId="44" xfId="0" applyNumberFormat="1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wrapText="1"/>
      <protection hidden="1"/>
    </xf>
    <xf numFmtId="0" fontId="12" fillId="0" borderId="42" xfId="0" applyFont="1" applyBorder="1" applyAlignment="1" applyProtection="1">
      <alignment horizontal="center"/>
      <protection hidden="1"/>
    </xf>
    <xf numFmtId="0" fontId="12" fillId="0" borderId="39" xfId="0" applyFont="1" applyBorder="1" applyAlignment="1" applyProtection="1">
      <alignment horizontal="center"/>
      <protection hidden="1"/>
    </xf>
    <xf numFmtId="0" fontId="12" fillId="0" borderId="43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horizontal="center"/>
      <protection hidden="1"/>
    </xf>
    <xf numFmtId="0" fontId="12" fillId="0" borderId="52" xfId="0" applyFont="1" applyBorder="1" applyAlignment="1" applyProtection="1">
      <alignment horizontal="center"/>
      <protection hidden="1"/>
    </xf>
    <xf numFmtId="0" fontId="12" fillId="0" borderId="44" xfId="0" applyFont="1" applyBorder="1" applyAlignment="1" applyProtection="1">
      <alignment horizontal="center"/>
      <protection hidden="1"/>
    </xf>
    <xf numFmtId="0" fontId="12" fillId="0" borderId="41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</xf>
    <xf numFmtId="0" fontId="4" fillId="0" borderId="48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3" fillId="9" borderId="27" xfId="0" applyFont="1" applyFill="1" applyBorder="1" applyAlignment="1" applyProtection="1">
      <alignment horizontal="left"/>
    </xf>
    <xf numFmtId="0" fontId="3" fillId="9" borderId="22" xfId="0" applyFont="1" applyFill="1" applyBorder="1" applyAlignment="1" applyProtection="1">
      <alignment horizontal="left"/>
    </xf>
    <xf numFmtId="0" fontId="3" fillId="9" borderId="28" xfId="0" applyFont="1" applyFill="1" applyBorder="1" applyAlignment="1" applyProtection="1">
      <alignment horizontal="left"/>
    </xf>
    <xf numFmtId="0" fontId="3" fillId="9" borderId="23" xfId="0" applyFont="1" applyFill="1" applyBorder="1" applyAlignment="1" applyProtection="1">
      <alignment horizontal="left"/>
    </xf>
    <xf numFmtId="1" fontId="3" fillId="0" borderId="34" xfId="0" applyNumberFormat="1" applyFont="1" applyFill="1" applyBorder="1" applyAlignment="1" applyProtection="1">
      <alignment horizontal="center" vertical="center"/>
    </xf>
    <xf numFmtId="1" fontId="3" fillId="0" borderId="35" xfId="0" applyNumberFormat="1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left"/>
    </xf>
    <xf numFmtId="0" fontId="3" fillId="0" borderId="50" xfId="0" applyFont="1" applyFill="1" applyBorder="1" applyAlignment="1" applyProtection="1">
      <alignment horizontal="left"/>
    </xf>
    <xf numFmtId="0" fontId="3" fillId="0" borderId="34" xfId="0" applyFont="1" applyFill="1" applyBorder="1" applyAlignment="1" applyProtection="1">
      <alignment horizontal="left"/>
    </xf>
    <xf numFmtId="0" fontId="3" fillId="6" borderId="27" xfId="0" applyFont="1" applyFill="1" applyBorder="1" applyAlignment="1" applyProtection="1">
      <alignment horizontal="left"/>
    </xf>
    <xf numFmtId="0" fontId="3" fillId="6" borderId="22" xfId="0" applyFont="1" applyFill="1" applyBorder="1" applyAlignment="1" applyProtection="1">
      <alignment horizontal="left"/>
    </xf>
    <xf numFmtId="0" fontId="3" fillId="6" borderId="28" xfId="0" applyFont="1" applyFill="1" applyBorder="1" applyAlignment="1" applyProtection="1">
      <alignment horizontal="left"/>
    </xf>
    <xf numFmtId="0" fontId="3" fillId="6" borderId="23" xfId="0" applyFont="1" applyFill="1" applyBorder="1" applyAlignment="1" applyProtection="1">
      <alignment horizontal="left"/>
    </xf>
    <xf numFmtId="0" fontId="3" fillId="6" borderId="28" xfId="0" applyFont="1" applyFill="1" applyBorder="1" applyAlignment="1" applyProtection="1">
      <alignment horizontal="center"/>
    </xf>
    <xf numFmtId="0" fontId="3" fillId="6" borderId="38" xfId="0" applyFont="1" applyFill="1" applyBorder="1" applyAlignment="1" applyProtection="1">
      <alignment horizontal="center"/>
    </xf>
    <xf numFmtId="0" fontId="1" fillId="9" borderId="36" xfId="0" applyFont="1" applyFill="1" applyBorder="1" applyAlignment="1" applyProtection="1">
      <alignment horizontal="center"/>
    </xf>
    <xf numFmtId="0" fontId="1" fillId="9" borderId="37" xfId="0" applyFont="1" applyFill="1" applyBorder="1" applyAlignment="1" applyProtection="1">
      <alignment horizontal="center"/>
    </xf>
    <xf numFmtId="0" fontId="1" fillId="6" borderId="36" xfId="0" applyFont="1" applyFill="1" applyBorder="1" applyAlignment="1" applyProtection="1">
      <alignment horizontal="center"/>
    </xf>
    <xf numFmtId="0" fontId="1" fillId="6" borderId="37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3" fillId="6" borderId="27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9" borderId="27" xfId="0" applyFont="1" applyFill="1" applyBorder="1" applyAlignment="1" applyProtection="1">
      <alignment horizontal="center"/>
    </xf>
    <xf numFmtId="0" fontId="3" fillId="9" borderId="26" xfId="0" applyFont="1" applyFill="1" applyBorder="1" applyAlignment="1" applyProtection="1">
      <alignment horizontal="center"/>
    </xf>
    <xf numFmtId="0" fontId="3" fillId="9" borderId="28" xfId="0" applyFont="1" applyFill="1" applyBorder="1" applyAlignment="1" applyProtection="1">
      <alignment horizontal="center"/>
    </xf>
    <xf numFmtId="0" fontId="3" fillId="9" borderId="38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57" xfId="0" applyFont="1" applyFill="1" applyBorder="1" applyAlignment="1" applyProtection="1">
      <alignment horizontal="center"/>
    </xf>
    <xf numFmtId="0" fontId="5" fillId="0" borderId="49" xfId="0" applyFont="1" applyFill="1" applyBorder="1" applyAlignment="1" applyProtection="1">
      <alignment horizontal="center"/>
    </xf>
    <xf numFmtId="0" fontId="5" fillId="0" borderId="56" xfId="0" applyFont="1" applyFill="1" applyBorder="1" applyAlignment="1" applyProtection="1">
      <alignment horizontal="center"/>
    </xf>
    <xf numFmtId="0" fontId="5" fillId="0" borderId="20" xfId="0" applyFont="1" applyBorder="1" applyAlignment="1" applyProtection="1"/>
    <xf numFmtId="0" fontId="5" fillId="0" borderId="53" xfId="0" applyFont="1" applyFill="1" applyBorder="1" applyAlignment="1" applyProtection="1">
      <alignment horizontal="center"/>
    </xf>
    <xf numFmtId="0" fontId="5" fillId="0" borderId="54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</xf>
    <xf numFmtId="0" fontId="1" fillId="0" borderId="47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65" fontId="7" fillId="0" borderId="20" xfId="0" applyNumberFormat="1" applyFont="1" applyBorder="1" applyAlignment="1" applyProtection="1">
      <alignment horizontal="center" vertical="center"/>
    </xf>
    <xf numFmtId="0" fontId="3" fillId="6" borderId="55" xfId="0" applyFont="1" applyFill="1" applyBorder="1" applyAlignment="1" applyProtection="1">
      <alignment horizontal="left"/>
    </xf>
    <xf numFmtId="0" fontId="3" fillId="6" borderId="64" xfId="0" applyFont="1" applyFill="1" applyBorder="1" applyAlignment="1" applyProtection="1">
      <alignment horizontal="left"/>
    </xf>
    <xf numFmtId="0" fontId="3" fillId="9" borderId="55" xfId="0" applyFont="1" applyFill="1" applyBorder="1" applyAlignment="1" applyProtection="1">
      <alignment horizontal="left"/>
    </xf>
    <xf numFmtId="0" fontId="3" fillId="9" borderId="64" xfId="0" applyFont="1" applyFill="1" applyBorder="1" applyAlignment="1" applyProtection="1">
      <alignment horizontal="left"/>
    </xf>
    <xf numFmtId="1" fontId="3" fillId="2" borderId="22" xfId="0" applyNumberFormat="1" applyFont="1" applyFill="1" applyBorder="1" applyAlignment="1" applyProtection="1">
      <alignment horizontal="center"/>
    </xf>
    <xf numFmtId="1" fontId="3" fillId="0" borderId="27" xfId="0" applyNumberFormat="1" applyFont="1" applyFill="1" applyBorder="1" applyAlignment="1" applyProtection="1">
      <alignment horizontal="center" vertical="center"/>
    </xf>
    <xf numFmtId="0" fontId="1" fillId="8" borderId="36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1" fontId="3" fillId="0" borderId="55" xfId="0" applyNumberFormat="1" applyFont="1" applyFill="1" applyBorder="1" applyAlignment="1" applyProtection="1">
      <alignment horizontal="center" vertical="center"/>
    </xf>
    <xf numFmtId="0" fontId="3" fillId="9" borderId="19" xfId="0" applyFont="1" applyFill="1" applyBorder="1" applyAlignment="1" applyProtection="1">
      <alignment horizontal="left"/>
    </xf>
    <xf numFmtId="1" fontId="3" fillId="2" borderId="23" xfId="0" applyNumberFormat="1" applyFont="1" applyFill="1" applyBorder="1" applyAlignment="1" applyProtection="1">
      <alignment horizontal="center"/>
    </xf>
    <xf numFmtId="0" fontId="3" fillId="6" borderId="19" xfId="0" applyFont="1" applyFill="1" applyBorder="1" applyAlignment="1" applyProtection="1">
      <alignment horizontal="left"/>
    </xf>
    <xf numFmtId="0" fontId="5" fillId="0" borderId="24" xfId="0" applyFont="1" applyBorder="1" applyAlignment="1" applyProtection="1"/>
    <xf numFmtId="0" fontId="5" fillId="0" borderId="48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1" fontId="3" fillId="0" borderId="34" xfId="0" applyNumberFormat="1" applyFont="1" applyFill="1" applyBorder="1" applyAlignment="1" applyProtection="1">
      <alignment horizontal="center"/>
    </xf>
    <xf numFmtId="1" fontId="3" fillId="0" borderId="50" xfId="0" applyNumberFormat="1" applyFont="1" applyFill="1" applyBorder="1" applyAlignment="1" applyProtection="1">
      <alignment horizontal="center"/>
    </xf>
    <xf numFmtId="1" fontId="3" fillId="0" borderId="51" xfId="0" applyNumberFormat="1" applyFont="1" applyFill="1" applyBorder="1" applyAlignment="1" applyProtection="1">
      <alignment horizontal="center"/>
    </xf>
    <xf numFmtId="0" fontId="1" fillId="0" borderId="48" xfId="0" applyFont="1" applyFill="1" applyBorder="1" applyAlignment="1" applyProtection="1">
      <alignment horizontal="center"/>
    </xf>
    <xf numFmtId="0" fontId="1" fillId="0" borderId="43" xfId="0" applyFont="1" applyFill="1" applyBorder="1" applyAlignment="1" applyProtection="1">
      <alignment horizontal="center"/>
    </xf>
    <xf numFmtId="0" fontId="1" fillId="0" borderId="52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left"/>
    </xf>
    <xf numFmtId="0" fontId="3" fillId="3" borderId="19" xfId="0" applyFont="1" applyFill="1" applyBorder="1" applyAlignment="1" applyProtection="1">
      <alignment horizontal="left"/>
    </xf>
    <xf numFmtId="0" fontId="3" fillId="2" borderId="28" xfId="0" applyFont="1" applyFill="1" applyBorder="1" applyAlignment="1" applyProtection="1">
      <alignment horizontal="left"/>
    </xf>
    <xf numFmtId="0" fontId="3" fillId="2" borderId="19" xfId="0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left"/>
    </xf>
    <xf numFmtId="0" fontId="3" fillId="3" borderId="18" xfId="0" applyFont="1" applyFill="1" applyBorder="1" applyAlignment="1" applyProtection="1">
      <alignment horizontal="left"/>
    </xf>
    <xf numFmtId="0" fontId="3" fillId="2" borderId="27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3" fillId="6" borderId="18" xfId="0" applyFont="1" applyFill="1" applyBorder="1" applyAlignment="1" applyProtection="1">
      <alignment horizontal="left"/>
    </xf>
    <xf numFmtId="0" fontId="1" fillId="9" borderId="17" xfId="0" applyFont="1" applyFill="1" applyBorder="1" applyAlignment="1" applyProtection="1">
      <alignment horizontal="center"/>
    </xf>
    <xf numFmtId="0" fontId="3" fillId="9" borderId="18" xfId="0" applyFont="1" applyFill="1" applyBorder="1" applyAlignment="1" applyProtection="1">
      <alignment horizontal="left"/>
    </xf>
    <xf numFmtId="0" fontId="1" fillId="3" borderId="36" xfId="0" applyFont="1" applyFill="1" applyBorder="1" applyAlignment="1" applyProtection="1">
      <alignment horizontal="center"/>
    </xf>
    <xf numFmtId="0" fontId="1" fillId="3" borderId="46" xfId="0" applyFont="1" applyFill="1" applyBorder="1" applyAlignment="1" applyProtection="1">
      <alignment horizontal="center"/>
    </xf>
    <xf numFmtId="0" fontId="1" fillId="3" borderId="37" xfId="0" applyFont="1" applyFill="1" applyBorder="1" applyAlignment="1" applyProtection="1">
      <alignment horizontal="center"/>
    </xf>
    <xf numFmtId="0" fontId="1" fillId="2" borderId="36" xfId="0" applyFont="1" applyFill="1" applyBorder="1" applyAlignment="1" applyProtection="1">
      <alignment horizontal="center"/>
    </xf>
    <xf numFmtId="0" fontId="1" fillId="2" borderId="46" xfId="0" applyFont="1" applyFill="1" applyBorder="1" applyAlignment="1" applyProtection="1">
      <alignment horizontal="center"/>
    </xf>
    <xf numFmtId="0" fontId="1" fillId="2" borderId="37" xfId="0" applyFont="1" applyFill="1" applyBorder="1" applyAlignment="1" applyProtection="1">
      <alignment horizontal="center"/>
    </xf>
    <xf numFmtId="0" fontId="1" fillId="6" borderId="46" xfId="0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" fontId="3" fillId="0" borderId="18" xfId="0" applyNumberFormat="1" applyFont="1" applyFill="1" applyBorder="1" applyAlignment="1" applyProtection="1">
      <alignment horizontal="center"/>
    </xf>
    <xf numFmtId="1" fontId="3" fillId="0" borderId="26" xfId="0" applyNumberFormat="1" applyFont="1" applyFill="1" applyBorder="1" applyAlignment="1" applyProtection="1">
      <alignment horizontal="center"/>
    </xf>
    <xf numFmtId="0" fontId="1" fillId="0" borderId="49" xfId="0" applyFont="1" applyFill="1" applyBorder="1" applyAlignment="1" applyProtection="1">
      <alignment horizontal="center"/>
    </xf>
    <xf numFmtId="0" fontId="1" fillId="0" borderId="46" xfId="0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3" fillId="0" borderId="42" xfId="0" applyFont="1" applyBorder="1" applyAlignment="1" applyProtection="1">
      <alignment horizontal="right"/>
    </xf>
    <xf numFmtId="0" fontId="3" fillId="3" borderId="22" xfId="0" applyFont="1" applyFill="1" applyBorder="1" applyAlignment="1" applyProtection="1">
      <alignment horizontal="left"/>
    </xf>
    <xf numFmtId="0" fontId="3" fillId="2" borderId="22" xfId="0" applyFont="1" applyFill="1" applyBorder="1" applyAlignment="1" applyProtection="1">
      <alignment horizontal="left"/>
    </xf>
    <xf numFmtId="0" fontId="1" fillId="3" borderId="45" xfId="0" applyFont="1" applyFill="1" applyBorder="1" applyAlignment="1" applyProtection="1">
      <alignment horizontal="center"/>
    </xf>
    <xf numFmtId="0" fontId="1" fillId="2" borderId="45" xfId="0" applyFont="1" applyFill="1" applyBorder="1" applyAlignment="1" applyProtection="1">
      <alignment horizontal="center"/>
    </xf>
    <xf numFmtId="0" fontId="1" fillId="6" borderId="45" xfId="0" applyFont="1" applyFill="1" applyBorder="1" applyAlignment="1" applyProtection="1">
      <alignment horizontal="center"/>
    </xf>
    <xf numFmtId="0" fontId="1" fillId="9" borderId="45" xfId="0" applyFont="1" applyFill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>
      <alignment horizontal="left"/>
    </xf>
    <xf numFmtId="0" fontId="1" fillId="4" borderId="56" xfId="0" applyFont="1" applyFill="1" applyBorder="1" applyAlignment="1" applyProtection="1">
      <alignment horizontal="center"/>
    </xf>
    <xf numFmtId="0" fontId="1" fillId="4" borderId="39" xfId="0" applyFont="1" applyFill="1" applyBorder="1" applyAlignment="1" applyProtection="1">
      <alignment horizontal="center"/>
    </xf>
    <xf numFmtId="0" fontId="1" fillId="4" borderId="60" xfId="0" applyFont="1" applyFill="1" applyBorder="1" applyAlignment="1" applyProtection="1">
      <alignment horizontal="center"/>
    </xf>
    <xf numFmtId="0" fontId="1" fillId="4" borderId="40" xfId="0" applyFont="1" applyFill="1" applyBorder="1" applyAlignment="1" applyProtection="1">
      <alignment horizontal="center"/>
    </xf>
    <xf numFmtId="0" fontId="1" fillId="4" borderId="59" xfId="0" applyFont="1" applyFill="1" applyBorder="1" applyAlignment="1" applyProtection="1">
      <alignment horizontal="center"/>
    </xf>
    <xf numFmtId="0" fontId="1" fillId="4" borderId="41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" fillId="7" borderId="56" xfId="0" applyFont="1" applyFill="1" applyBorder="1" applyAlignment="1" applyProtection="1">
      <alignment horizontal="center"/>
    </xf>
    <xf numFmtId="0" fontId="1" fillId="7" borderId="39" xfId="0" applyFont="1" applyFill="1" applyBorder="1" applyAlignment="1" applyProtection="1">
      <alignment horizontal="center"/>
    </xf>
    <xf numFmtId="0" fontId="1" fillId="7" borderId="60" xfId="0" applyFont="1" applyFill="1" applyBorder="1" applyAlignment="1" applyProtection="1">
      <alignment horizontal="center"/>
    </xf>
    <xf numFmtId="0" fontId="1" fillId="7" borderId="40" xfId="0" applyFont="1" applyFill="1" applyBorder="1" applyAlignment="1" applyProtection="1">
      <alignment horizontal="center"/>
    </xf>
    <xf numFmtId="0" fontId="1" fillId="8" borderId="56" xfId="0" applyFont="1" applyFill="1" applyBorder="1" applyAlignment="1" applyProtection="1">
      <alignment horizontal="center"/>
    </xf>
    <xf numFmtId="0" fontId="1" fillId="8" borderId="39" xfId="0" applyFont="1" applyFill="1" applyBorder="1" applyAlignment="1" applyProtection="1">
      <alignment horizontal="center"/>
    </xf>
    <xf numFmtId="0" fontId="1" fillId="8" borderId="60" xfId="0" applyFont="1" applyFill="1" applyBorder="1" applyAlignment="1" applyProtection="1">
      <alignment horizontal="center"/>
    </xf>
    <xf numFmtId="0" fontId="1" fillId="8" borderId="40" xfId="0" applyFont="1" applyFill="1" applyBorder="1" applyAlignment="1" applyProtection="1">
      <alignment horizontal="center"/>
    </xf>
    <xf numFmtId="0" fontId="1" fillId="8" borderId="59" xfId="0" applyFont="1" applyFill="1" applyBorder="1" applyAlignment="1" applyProtection="1">
      <alignment horizontal="center"/>
    </xf>
    <xf numFmtId="0" fontId="1" fillId="8" borderId="41" xfId="0" applyFont="1" applyFill="1" applyBorder="1" applyAlignment="1" applyProtection="1">
      <alignment horizontal="center"/>
    </xf>
    <xf numFmtId="0" fontId="1" fillId="5" borderId="56" xfId="0" applyFont="1" applyFill="1" applyBorder="1" applyAlignment="1" applyProtection="1">
      <alignment horizontal="center"/>
    </xf>
    <xf numFmtId="0" fontId="1" fillId="5" borderId="39" xfId="0" applyFont="1" applyFill="1" applyBorder="1" applyAlignment="1" applyProtection="1">
      <alignment horizontal="center"/>
    </xf>
    <xf numFmtId="0" fontId="1" fillId="5" borderId="60" xfId="0" applyFont="1" applyFill="1" applyBorder="1" applyAlignment="1" applyProtection="1">
      <alignment horizontal="center"/>
    </xf>
    <xf numFmtId="0" fontId="1" fillId="5" borderId="40" xfId="0" applyFont="1" applyFill="1" applyBorder="1" applyAlignment="1" applyProtection="1">
      <alignment horizontal="center"/>
    </xf>
    <xf numFmtId="0" fontId="1" fillId="5" borderId="59" xfId="0" applyFont="1" applyFill="1" applyBorder="1" applyAlignment="1" applyProtection="1">
      <alignment horizontal="center"/>
    </xf>
    <xf numFmtId="0" fontId="1" fillId="5" borderId="41" xfId="0" applyFont="1" applyFill="1" applyBorder="1" applyAlignment="1" applyProtection="1">
      <alignment horizontal="center"/>
    </xf>
    <xf numFmtId="0" fontId="1" fillId="9" borderId="56" xfId="0" applyFont="1" applyFill="1" applyBorder="1" applyAlignment="1" applyProtection="1">
      <alignment horizontal="center"/>
    </xf>
    <xf numFmtId="0" fontId="1" fillId="9" borderId="39" xfId="0" applyFont="1" applyFill="1" applyBorder="1" applyAlignment="1" applyProtection="1">
      <alignment horizontal="center"/>
    </xf>
    <xf numFmtId="0" fontId="1" fillId="9" borderId="60" xfId="0" applyFont="1" applyFill="1" applyBorder="1" applyAlignment="1" applyProtection="1">
      <alignment horizontal="center"/>
    </xf>
    <xf numFmtId="0" fontId="1" fillId="9" borderId="40" xfId="0" applyFont="1" applyFill="1" applyBorder="1" applyAlignment="1" applyProtection="1">
      <alignment horizontal="center"/>
    </xf>
    <xf numFmtId="0" fontId="1" fillId="9" borderId="59" xfId="0" applyFont="1" applyFill="1" applyBorder="1" applyAlignment="1" applyProtection="1">
      <alignment horizontal="center"/>
    </xf>
    <xf numFmtId="0" fontId="1" fillId="9" borderId="41" xfId="0" applyFont="1" applyFill="1" applyBorder="1" applyAlignment="1" applyProtection="1">
      <alignment horizontal="center"/>
    </xf>
    <xf numFmtId="0" fontId="1" fillId="7" borderId="59" xfId="0" applyFont="1" applyFill="1" applyBorder="1" applyAlignment="1" applyProtection="1">
      <alignment horizontal="center"/>
    </xf>
    <xf numFmtId="0" fontId="1" fillId="7" borderId="41" xfId="0" applyFont="1" applyFill="1" applyBorder="1" applyAlignment="1" applyProtection="1">
      <alignment horizontal="center"/>
    </xf>
    <xf numFmtId="0" fontId="1" fillId="3" borderId="56" xfId="0" applyFont="1" applyFill="1" applyBorder="1" applyAlignment="1" applyProtection="1">
      <alignment horizontal="center"/>
    </xf>
    <xf numFmtId="0" fontId="1" fillId="3" borderId="39" xfId="0" applyFont="1" applyFill="1" applyBorder="1" applyAlignment="1" applyProtection="1">
      <alignment horizontal="center"/>
    </xf>
    <xf numFmtId="0" fontId="1" fillId="3" borderId="60" xfId="0" applyFont="1" applyFill="1" applyBorder="1" applyAlignment="1" applyProtection="1">
      <alignment horizontal="center"/>
    </xf>
    <xf numFmtId="0" fontId="1" fillId="3" borderId="40" xfId="0" applyFont="1" applyFill="1" applyBorder="1" applyAlignment="1" applyProtection="1">
      <alignment horizontal="center"/>
    </xf>
    <xf numFmtId="0" fontId="1" fillId="3" borderId="59" xfId="0" applyFont="1" applyFill="1" applyBorder="1" applyAlignment="1" applyProtection="1">
      <alignment horizontal="center"/>
    </xf>
    <xf numFmtId="0" fontId="1" fillId="3" borderId="41" xfId="0" applyFont="1" applyFill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horizontal="center"/>
    </xf>
    <xf numFmtId="0" fontId="1" fillId="2" borderId="60" xfId="0" applyFont="1" applyFill="1" applyBorder="1" applyAlignment="1" applyProtection="1">
      <alignment horizontal="center"/>
    </xf>
    <xf numFmtId="0" fontId="1" fillId="2" borderId="40" xfId="0" applyFont="1" applyFill="1" applyBorder="1" applyAlignment="1" applyProtection="1">
      <alignment horizontal="center"/>
    </xf>
    <xf numFmtId="0" fontId="1" fillId="2" borderId="59" xfId="0" applyFont="1" applyFill="1" applyBorder="1" applyAlignment="1" applyProtection="1">
      <alignment horizontal="center"/>
    </xf>
    <xf numFmtId="0" fontId="1" fillId="2" borderId="41" xfId="0" applyFont="1" applyFill="1" applyBorder="1" applyAlignment="1" applyProtection="1">
      <alignment horizontal="center"/>
    </xf>
    <xf numFmtId="0" fontId="1" fillId="6" borderId="56" xfId="0" applyFont="1" applyFill="1" applyBorder="1" applyAlignment="1" applyProtection="1">
      <alignment horizontal="center"/>
    </xf>
    <xf numFmtId="0" fontId="1" fillId="6" borderId="39" xfId="0" applyFont="1" applyFill="1" applyBorder="1" applyAlignment="1" applyProtection="1">
      <alignment horizontal="center"/>
    </xf>
    <xf numFmtId="0" fontId="1" fillId="6" borderId="60" xfId="0" applyFont="1" applyFill="1" applyBorder="1" applyAlignment="1" applyProtection="1">
      <alignment horizontal="center"/>
    </xf>
    <xf numFmtId="0" fontId="1" fillId="6" borderId="40" xfId="0" applyFont="1" applyFill="1" applyBorder="1" applyAlignment="1" applyProtection="1">
      <alignment horizontal="center"/>
    </xf>
    <xf numFmtId="0" fontId="1" fillId="6" borderId="59" xfId="0" applyFont="1" applyFill="1" applyBorder="1" applyAlignment="1" applyProtection="1">
      <alignment horizontal="center"/>
    </xf>
    <xf numFmtId="0" fontId="1" fillId="6" borderId="41" xfId="0" applyFont="1" applyFill="1" applyBorder="1" applyAlignment="1" applyProtection="1">
      <alignment horizontal="center"/>
    </xf>
    <xf numFmtId="165" fontId="7" fillId="0" borderId="42" xfId="0" applyNumberFormat="1" applyFont="1" applyBorder="1" applyAlignment="1" applyProtection="1">
      <alignment horizontal="center" vertical="center"/>
    </xf>
    <xf numFmtId="0" fontId="3" fillId="8" borderId="48" xfId="0" applyFont="1" applyFill="1" applyBorder="1" applyAlignment="1" applyProtection="1">
      <alignment horizontal="center"/>
    </xf>
    <xf numFmtId="0" fontId="3" fillId="8" borderId="39" xfId="0" applyFont="1" applyFill="1" applyBorder="1" applyAlignment="1" applyProtection="1">
      <alignment horizontal="center"/>
    </xf>
    <xf numFmtId="0" fontId="3" fillId="8" borderId="43" xfId="0" applyFont="1" applyFill="1" applyBorder="1" applyAlignment="1" applyProtection="1">
      <alignment horizontal="center"/>
    </xf>
    <xf numFmtId="0" fontId="3" fillId="8" borderId="40" xfId="0" applyFont="1" applyFill="1" applyBorder="1" applyAlignment="1" applyProtection="1">
      <alignment horizontal="center"/>
    </xf>
    <xf numFmtId="0" fontId="3" fillId="8" borderId="52" xfId="0" applyFont="1" applyFill="1" applyBorder="1" applyAlignment="1" applyProtection="1">
      <alignment horizontal="center"/>
    </xf>
    <xf numFmtId="0" fontId="3" fillId="8" borderId="41" xfId="0" applyFont="1" applyFill="1" applyBorder="1" applyAlignment="1" applyProtection="1">
      <alignment horizontal="center"/>
    </xf>
    <xf numFmtId="0" fontId="6" fillId="0" borderId="44" xfId="0" applyFont="1" applyBorder="1" applyAlignment="1" applyProtection="1">
      <alignment horizontal="right" vertical="center"/>
    </xf>
    <xf numFmtId="0" fontId="1" fillId="7" borderId="3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left"/>
    </xf>
    <xf numFmtId="0" fontId="3" fillId="3" borderId="38" xfId="0" applyFont="1" applyFill="1" applyBorder="1" applyAlignment="1" applyProtection="1">
      <alignment horizontal="left"/>
    </xf>
    <xf numFmtId="0" fontId="3" fillId="2" borderId="38" xfId="0" applyFont="1" applyFill="1" applyBorder="1" applyAlignment="1" applyProtection="1">
      <alignment horizontal="left"/>
    </xf>
    <xf numFmtId="0" fontId="3" fillId="6" borderId="38" xfId="0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>
      <alignment horizontal="left"/>
    </xf>
    <xf numFmtId="0" fontId="3" fillId="6" borderId="26" xfId="0" applyFont="1" applyFill="1" applyBorder="1" applyAlignment="1" applyProtection="1">
      <alignment horizontal="left"/>
    </xf>
    <xf numFmtId="0" fontId="3" fillId="3" borderId="38" xfId="0" applyFont="1" applyFill="1" applyBorder="1" applyAlignment="1" applyProtection="1">
      <alignment horizontal="left"/>
      <protection locked="0"/>
    </xf>
    <xf numFmtId="0" fontId="3" fillId="2" borderId="38" xfId="0" applyFont="1" applyFill="1" applyBorder="1" applyAlignment="1" applyProtection="1">
      <alignment horizontal="left"/>
      <protection locked="0"/>
    </xf>
    <xf numFmtId="0" fontId="3" fillId="6" borderId="38" xfId="0" applyFont="1" applyFill="1" applyBorder="1" applyAlignment="1" applyProtection="1">
      <alignment horizontal="left"/>
      <protection locked="0"/>
    </xf>
    <xf numFmtId="0" fontId="3" fillId="3" borderId="26" xfId="0" applyFont="1" applyFill="1" applyBorder="1" applyAlignment="1" applyProtection="1">
      <alignment horizontal="left"/>
      <protection locked="0"/>
    </xf>
    <xf numFmtId="0" fontId="3" fillId="2" borderId="26" xfId="0" applyFont="1" applyFill="1" applyBorder="1" applyAlignment="1" applyProtection="1">
      <alignment horizontal="left"/>
      <protection locked="0"/>
    </xf>
    <xf numFmtId="0" fontId="3" fillId="6" borderId="26" xfId="0" applyFont="1" applyFill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20" fontId="6" fillId="0" borderId="42" xfId="0" applyNumberFormat="1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right" vertical="center"/>
    </xf>
    <xf numFmtId="0" fontId="1" fillId="8" borderId="42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</xf>
    <xf numFmtId="0" fontId="1" fillId="8" borderId="4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44" xfId="0" applyFont="1" applyFill="1" applyBorder="1" applyAlignment="1" applyProtection="1">
      <alignment horizontal="center"/>
    </xf>
    <xf numFmtId="1" fontId="3" fillId="3" borderId="55" xfId="0" applyNumberFormat="1" applyFont="1" applyFill="1" applyBorder="1" applyAlignment="1" applyProtection="1">
      <alignment horizontal="center"/>
    </xf>
    <xf numFmtId="1" fontId="3" fillId="3" borderId="51" xfId="0" applyNumberFormat="1" applyFont="1" applyFill="1" applyBorder="1" applyAlignment="1" applyProtection="1">
      <alignment horizontal="center"/>
    </xf>
    <xf numFmtId="1" fontId="3" fillId="3" borderId="60" xfId="0" applyNumberFormat="1" applyFont="1" applyFill="1" applyBorder="1" applyAlignment="1" applyProtection="1">
      <alignment horizontal="center"/>
    </xf>
    <xf numFmtId="1" fontId="3" fillId="3" borderId="40" xfId="0" applyNumberFormat="1" applyFont="1" applyFill="1" applyBorder="1" applyAlignment="1" applyProtection="1">
      <alignment horizontal="center"/>
    </xf>
    <xf numFmtId="1" fontId="3" fillId="3" borderId="59" xfId="0" applyNumberFormat="1" applyFont="1" applyFill="1" applyBorder="1" applyAlignment="1" applyProtection="1">
      <alignment horizontal="center"/>
    </xf>
    <xf numFmtId="1" fontId="3" fillId="3" borderId="41" xfId="0" applyNumberFormat="1" applyFont="1" applyFill="1" applyBorder="1" applyAlignment="1" applyProtection="1">
      <alignment horizontal="center"/>
    </xf>
    <xf numFmtId="20" fontId="16" fillId="0" borderId="13" xfId="0" applyNumberFormat="1" applyFont="1" applyBorder="1" applyAlignment="1" applyProtection="1">
      <alignment horizontal="center" vertical="center"/>
    </xf>
    <xf numFmtId="20" fontId="16" fillId="0" borderId="20" xfId="0" applyNumberFormat="1" applyFont="1" applyBorder="1" applyAlignment="1" applyProtection="1">
      <alignment horizontal="center" vertical="center"/>
    </xf>
    <xf numFmtId="20" fontId="16" fillId="0" borderId="24" xfId="0" applyNumberFormat="1" applyFont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3" fillId="8" borderId="44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1" fillId="7" borderId="12" xfId="0" applyFont="1" applyFill="1" applyBorder="1" applyAlignment="1" applyProtection="1">
      <alignment horizontal="center"/>
    </xf>
    <xf numFmtId="0" fontId="1" fillId="7" borderId="58" xfId="0" applyFont="1" applyFill="1" applyBorder="1" applyAlignment="1" applyProtection="1">
      <alignment horizontal="center"/>
    </xf>
    <xf numFmtId="0" fontId="1" fillId="8" borderId="12" xfId="0" applyFont="1" applyFill="1" applyBorder="1" applyAlignment="1" applyProtection="1">
      <alignment horizontal="center"/>
    </xf>
    <xf numFmtId="0" fontId="1" fillId="8" borderId="58" xfId="0" applyFont="1" applyFill="1" applyBorder="1" applyAlignment="1" applyProtection="1">
      <alignment horizontal="center"/>
    </xf>
    <xf numFmtId="0" fontId="1" fillId="5" borderId="36" xfId="0" applyFont="1" applyFill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1" fillId="5" borderId="58" xfId="0" applyFont="1" applyFill="1" applyBorder="1" applyAlignment="1" applyProtection="1">
      <alignment horizontal="center"/>
    </xf>
    <xf numFmtId="0" fontId="3" fillId="0" borderId="44" xfId="0" applyFont="1" applyFill="1" applyBorder="1" applyAlignment="1" applyProtection="1">
      <alignment horizontal="left"/>
    </xf>
    <xf numFmtId="0" fontId="3" fillId="0" borderId="41" xfId="0" applyFont="1" applyFill="1" applyBorder="1" applyAlignment="1" applyProtection="1">
      <alignment horizontal="left"/>
    </xf>
    <xf numFmtId="0" fontId="5" fillId="0" borderId="42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1" fillId="0" borderId="42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3" fillId="0" borderId="40" xfId="0" applyFont="1" applyFill="1" applyBorder="1" applyAlignment="1" applyProtection="1">
      <alignment horizontal="left"/>
    </xf>
    <xf numFmtId="0" fontId="5" fillId="0" borderId="48" xfId="0" applyFont="1" applyBorder="1" applyAlignment="1" applyProtection="1">
      <alignment horizontal="center"/>
    </xf>
    <xf numFmtId="0" fontId="5" fillId="0" borderId="42" xfId="0" applyFont="1" applyBorder="1" applyAlignment="1" applyProtection="1">
      <alignment horizontal="center"/>
    </xf>
    <xf numFmtId="20" fontId="6" fillId="0" borderId="44" xfId="0" applyNumberFormat="1" applyFont="1" applyBorder="1" applyAlignment="1" applyProtection="1">
      <alignment horizontal="center" vertical="center"/>
    </xf>
    <xf numFmtId="165" fontId="2" fillId="15" borderId="13" xfId="0" applyNumberFormat="1" applyFont="1" applyFill="1" applyBorder="1" applyAlignment="1" applyProtection="1">
      <alignment horizontal="center" vertical="center"/>
      <protection locked="0"/>
    </xf>
    <xf numFmtId="165" fontId="2" fillId="15" borderId="20" xfId="0" applyNumberFormat="1" applyFont="1" applyFill="1" applyBorder="1" applyAlignment="1" applyProtection="1">
      <alignment horizontal="center" vertical="center"/>
      <protection locked="0"/>
    </xf>
    <xf numFmtId="165" fontId="2" fillId="15" borderId="24" xfId="0" applyNumberFormat="1" applyFont="1" applyFill="1" applyBorder="1" applyAlignment="1" applyProtection="1">
      <alignment horizontal="center" vertical="center"/>
      <protection locked="0"/>
    </xf>
    <xf numFmtId="165" fontId="0" fillId="0" borderId="13" xfId="0" applyNumberFormat="1" applyFill="1" applyBorder="1" applyAlignment="1" applyProtection="1">
      <alignment horizontal="center"/>
      <protection locked="0"/>
    </xf>
    <xf numFmtId="165" fontId="0" fillId="0" borderId="20" xfId="0" applyNumberFormat="1" applyFill="1" applyBorder="1" applyAlignment="1" applyProtection="1">
      <alignment horizontal="center"/>
      <protection locked="0"/>
    </xf>
    <xf numFmtId="165" fontId="0" fillId="0" borderId="24" xfId="0" applyNumberFormat="1" applyFill="1" applyBorder="1" applyAlignment="1" applyProtection="1">
      <alignment horizontal="center"/>
      <protection locked="0"/>
    </xf>
    <xf numFmtId="0" fontId="18" fillId="0" borderId="48" xfId="0" applyFont="1" applyBorder="1" applyAlignment="1" applyProtection="1">
      <alignment horizontal="center"/>
    </xf>
    <xf numFmtId="0" fontId="18" fillId="0" borderId="39" xfId="0" applyFont="1" applyBorder="1" applyAlignment="1" applyProtection="1">
      <alignment horizontal="center"/>
    </xf>
    <xf numFmtId="0" fontId="18" fillId="0" borderId="43" xfId="0" applyFont="1" applyBorder="1" applyAlignment="1" applyProtection="1">
      <alignment horizontal="center"/>
    </xf>
    <xf numFmtId="0" fontId="18" fillId="0" borderId="40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center"/>
    </xf>
    <xf numFmtId="0" fontId="3" fillId="0" borderId="6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5" fillId="10" borderId="13" xfId="0" applyFont="1" applyFill="1" applyBorder="1" applyAlignment="1" applyProtection="1">
      <alignment horizontal="center" vertical="center"/>
    </xf>
    <xf numFmtId="0" fontId="5" fillId="10" borderId="20" xfId="0" applyFont="1" applyFill="1" applyBorder="1" applyAlignment="1" applyProtection="1">
      <alignment horizontal="center" vertical="center"/>
    </xf>
    <xf numFmtId="0" fontId="5" fillId="10" borderId="44" xfId="0" applyFont="1" applyFill="1" applyBorder="1" applyAlignment="1" applyProtection="1">
      <alignment horizontal="center" vertical="center"/>
    </xf>
    <xf numFmtId="0" fontId="5" fillId="10" borderId="24" xfId="0" applyFont="1" applyFill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right"/>
    </xf>
    <xf numFmtId="0" fontId="3" fillId="0" borderId="24" xfId="0" applyFont="1" applyBorder="1" applyAlignment="1" applyProtection="1">
      <alignment horizontal="right"/>
    </xf>
    <xf numFmtId="0" fontId="3" fillId="0" borderId="2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1" fontId="3" fillId="0" borderId="26" xfId="0" applyNumberFormat="1" applyFont="1" applyFill="1" applyBorder="1" applyAlignment="1" applyProtection="1">
      <alignment horizontal="center" vertical="center"/>
    </xf>
    <xf numFmtId="0" fontId="1" fillId="8" borderId="46" xfId="0" applyFont="1" applyFill="1" applyBorder="1" applyAlignment="1" applyProtection="1">
      <alignment horizontal="center"/>
    </xf>
    <xf numFmtId="20" fontId="8" fillId="0" borderId="42" xfId="0" applyNumberFormat="1" applyFont="1" applyBorder="1" applyAlignment="1" applyProtection="1">
      <alignment horizontal="center" vertical="center"/>
      <protection locked="0"/>
    </xf>
    <xf numFmtId="1" fontId="3" fillId="0" borderId="35" xfId="0" applyNumberFormat="1" applyFont="1" applyFill="1" applyBorder="1" applyAlignment="1" applyProtection="1">
      <alignment horizontal="center"/>
    </xf>
    <xf numFmtId="1" fontId="3" fillId="0" borderId="55" xfId="0" applyNumberFormat="1" applyFont="1" applyFill="1" applyBorder="1" applyAlignment="1" applyProtection="1">
      <alignment horizontal="center"/>
    </xf>
    <xf numFmtId="20" fontId="11" fillId="0" borderId="20" xfId="0" applyNumberFormat="1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right"/>
    </xf>
    <xf numFmtId="0" fontId="1" fillId="7" borderId="36" xfId="0" applyFont="1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right"/>
    </xf>
    <xf numFmtId="0" fontId="9" fillId="0" borderId="2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1" fillId="11" borderId="13" xfId="0" applyFont="1" applyFill="1" applyBorder="1" applyAlignment="1" applyProtection="1">
      <alignment horizontal="center"/>
    </xf>
    <xf numFmtId="0" fontId="1" fillId="11" borderId="20" xfId="0" applyFont="1" applyFill="1" applyBorder="1" applyAlignment="1" applyProtection="1">
      <alignment horizontal="center"/>
    </xf>
    <xf numFmtId="0" fontId="1" fillId="11" borderId="24" xfId="0" applyFont="1" applyFill="1" applyBorder="1" applyAlignment="1" applyProtection="1">
      <alignment horizontal="center"/>
    </xf>
    <xf numFmtId="0" fontId="0" fillId="17" borderId="0" xfId="0" applyFill="1" applyAlignment="1" applyProtection="1">
      <alignment horizontal="center"/>
    </xf>
    <xf numFmtId="0" fontId="0" fillId="17" borderId="40" xfId="0" applyFill="1" applyBorder="1" applyAlignment="1" applyProtection="1">
      <alignment horizontal="center"/>
    </xf>
    <xf numFmtId="0" fontId="0" fillId="0" borderId="48" xfId="0" applyFill="1" applyBorder="1" applyAlignment="1" applyProtection="1">
      <alignment horizontal="center"/>
    </xf>
    <xf numFmtId="0" fontId="0" fillId="0" borderId="43" xfId="0" applyFill="1" applyBorder="1" applyAlignment="1" applyProtection="1">
      <alignment horizontal="center"/>
    </xf>
    <xf numFmtId="0" fontId="0" fillId="0" borderId="52" xfId="0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2" fillId="0" borderId="30" xfId="0" applyFont="1" applyBorder="1" applyAlignment="1" applyProtection="1">
      <alignment horizontal="center" wrapText="1"/>
    </xf>
    <xf numFmtId="0" fontId="12" fillId="0" borderId="31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4" borderId="36" xfId="0" applyFont="1" applyFill="1" applyBorder="1" applyAlignment="1" applyProtection="1">
      <alignment horizontal="center"/>
    </xf>
    <xf numFmtId="0" fontId="1" fillId="4" borderId="46" xfId="0" applyFont="1" applyFill="1" applyBorder="1" applyAlignment="1" applyProtection="1">
      <alignment horizontal="center"/>
    </xf>
    <xf numFmtId="0" fontId="1" fillId="4" borderId="37" xfId="0" applyFont="1" applyFill="1" applyBorder="1" applyAlignment="1" applyProtection="1">
      <alignment horizontal="center"/>
    </xf>
    <xf numFmtId="0" fontId="1" fillId="5" borderId="46" xfId="0" applyFont="1" applyFill="1" applyBorder="1" applyAlignment="1" applyProtection="1">
      <alignment horizontal="center"/>
    </xf>
    <xf numFmtId="0" fontId="1" fillId="5" borderId="37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5" fontId="0" fillId="5" borderId="13" xfId="0" applyNumberFormat="1" applyFill="1" applyBorder="1" applyAlignment="1" applyProtection="1">
      <alignment horizontal="center"/>
    </xf>
    <xf numFmtId="165" fontId="0" fillId="5" borderId="20" xfId="0" applyNumberFormat="1" applyFill="1" applyBorder="1" applyAlignment="1" applyProtection="1">
      <alignment horizontal="center"/>
    </xf>
    <xf numFmtId="165" fontId="0" fillId="5" borderId="24" xfId="0" applyNumberFormat="1" applyFill="1" applyBorder="1" applyAlignment="1" applyProtection="1">
      <alignment horizontal="center"/>
    </xf>
    <xf numFmtId="165" fontId="0" fillId="4" borderId="13" xfId="0" applyNumberFormat="1" applyFill="1" applyBorder="1" applyAlignment="1" applyProtection="1">
      <alignment horizontal="center"/>
    </xf>
    <xf numFmtId="165" fontId="0" fillId="4" borderId="20" xfId="0" applyNumberFormat="1" applyFill="1" applyBorder="1" applyAlignment="1" applyProtection="1">
      <alignment horizontal="center"/>
    </xf>
    <xf numFmtId="165" fontId="0" fillId="4" borderId="24" xfId="0" applyNumberFormat="1" applyFill="1" applyBorder="1" applyAlignment="1" applyProtection="1">
      <alignment horizontal="center"/>
    </xf>
    <xf numFmtId="165" fontId="0" fillId="7" borderId="13" xfId="0" applyNumberFormat="1" applyFill="1" applyBorder="1" applyAlignment="1" applyProtection="1">
      <alignment horizontal="center"/>
    </xf>
    <xf numFmtId="165" fontId="0" fillId="7" borderId="20" xfId="0" applyNumberFormat="1" applyFill="1" applyBorder="1" applyAlignment="1" applyProtection="1">
      <alignment horizontal="center"/>
    </xf>
    <xf numFmtId="165" fontId="0" fillId="7" borderId="24" xfId="0" applyNumberFormat="1" applyFill="1" applyBorder="1" applyAlignment="1" applyProtection="1">
      <alignment horizontal="center"/>
    </xf>
    <xf numFmtId="165" fontId="0" fillId="8" borderId="13" xfId="0" applyNumberFormat="1" applyFill="1" applyBorder="1" applyAlignment="1" applyProtection="1">
      <alignment horizontal="center"/>
    </xf>
    <xf numFmtId="165" fontId="0" fillId="8" borderId="20" xfId="0" applyNumberFormat="1" applyFill="1" applyBorder="1" applyAlignment="1" applyProtection="1">
      <alignment horizontal="center"/>
    </xf>
    <xf numFmtId="165" fontId="0" fillId="8" borderId="24" xfId="0" applyNumberFormat="1" applyFill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20" fontId="8" fillId="0" borderId="30" xfId="0" applyNumberFormat="1" applyFont="1" applyBorder="1" applyAlignment="1" applyProtection="1">
      <alignment horizontal="center" vertical="center"/>
    </xf>
    <xf numFmtId="20" fontId="8" fillId="0" borderId="31" xfId="0" applyNumberFormat="1" applyFont="1" applyBorder="1" applyAlignment="1" applyProtection="1">
      <alignment horizontal="center" vertical="center"/>
    </xf>
    <xf numFmtId="20" fontId="8" fillId="0" borderId="32" xfId="0" applyNumberFormat="1" applyFont="1" applyBorder="1" applyAlignment="1" applyProtection="1">
      <alignment horizontal="center" vertical="center"/>
    </xf>
    <xf numFmtId="1" fontId="3" fillId="0" borderId="38" xfId="0" applyNumberFormat="1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right"/>
    </xf>
    <xf numFmtId="0" fontId="4" fillId="0" borderId="20" xfId="0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5" fillId="0" borderId="44" xfId="0" applyFont="1" applyBorder="1" applyAlignment="1" applyProtection="1">
      <alignment horizontal="center"/>
    </xf>
    <xf numFmtId="165" fontId="0" fillId="0" borderId="13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5" fontId="0" fillId="0" borderId="24" xfId="0" applyNumberFormat="1" applyFill="1" applyBorder="1" applyAlignment="1" applyProtection="1">
      <alignment horizontal="center"/>
    </xf>
    <xf numFmtId="20" fontId="8" fillId="0" borderId="42" xfId="0" applyNumberFormat="1" applyFont="1" applyBorder="1" applyAlignment="1" applyProtection="1">
      <alignment horizontal="center" vertical="center"/>
    </xf>
    <xf numFmtId="20" fontId="8" fillId="0" borderId="0" xfId="0" applyNumberFormat="1" applyFont="1" applyBorder="1" applyAlignment="1" applyProtection="1">
      <alignment horizontal="center" vertical="center"/>
    </xf>
    <xf numFmtId="20" fontId="8" fillId="0" borderId="44" xfId="0" applyNumberFormat="1" applyFont="1" applyBorder="1" applyAlignment="1" applyProtection="1">
      <alignment horizontal="center" vertical="center"/>
    </xf>
    <xf numFmtId="1" fontId="3" fillId="0" borderId="28" xfId="0" applyNumberFormat="1" applyFont="1" applyFill="1" applyBorder="1" applyAlignment="1" applyProtection="1">
      <alignment horizontal="center" vertical="center"/>
    </xf>
    <xf numFmtId="1" fontId="3" fillId="0" borderId="38" xfId="0" applyNumberFormat="1" applyFont="1" applyFill="1" applyBorder="1" applyAlignment="1" applyProtection="1">
      <alignment horizontal="center" vertical="center"/>
    </xf>
    <xf numFmtId="0" fontId="1" fillId="7" borderId="46" xfId="0" applyFont="1" applyFill="1" applyBorder="1" applyAlignment="1" applyProtection="1">
      <alignment horizontal="center"/>
    </xf>
    <xf numFmtId="0" fontId="1" fillId="7" borderId="37" xfId="0" applyFont="1" applyFill="1" applyBorder="1" applyAlignment="1" applyProtection="1">
      <alignment horizontal="center"/>
    </xf>
    <xf numFmtId="0" fontId="1" fillId="8" borderId="37" xfId="0" applyFont="1" applyFill="1" applyBorder="1" applyAlignment="1" applyProtection="1">
      <alignment horizontal="center"/>
    </xf>
    <xf numFmtId="0" fontId="3" fillId="9" borderId="18" xfId="0" applyFont="1" applyFill="1" applyBorder="1" applyAlignment="1" applyProtection="1">
      <alignment horizontal="left"/>
      <protection locked="0"/>
    </xf>
    <xf numFmtId="0" fontId="3" fillId="2" borderId="55" xfId="0" applyFont="1" applyFill="1" applyBorder="1" applyAlignment="1" applyProtection="1">
      <alignment horizontal="left"/>
      <protection locked="0"/>
    </xf>
    <xf numFmtId="0" fontId="3" fillId="2" borderId="50" xfId="0" applyFont="1" applyFill="1" applyBorder="1" applyAlignment="1" applyProtection="1">
      <alignment horizontal="left"/>
      <protection locked="0"/>
    </xf>
    <xf numFmtId="0" fontId="3" fillId="6" borderId="18" xfId="0" applyFont="1" applyFill="1" applyBorder="1" applyAlignment="1" applyProtection="1">
      <alignment horizontal="left"/>
      <protection locked="0"/>
    </xf>
    <xf numFmtId="0" fontId="1" fillId="9" borderId="46" xfId="0" applyFont="1" applyFill="1" applyBorder="1" applyAlignment="1" applyProtection="1">
      <alignment horizontal="center"/>
    </xf>
    <xf numFmtId="0" fontId="3" fillId="9" borderId="19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6" borderId="19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3" fillId="18" borderId="28" xfId="0" applyFont="1" applyFill="1" applyBorder="1" applyAlignment="1" applyProtection="1">
      <alignment horizontal="left"/>
      <protection locked="0"/>
    </xf>
    <xf numFmtId="0" fontId="3" fillId="18" borderId="23" xfId="0" applyFont="1" applyFill="1" applyBorder="1" applyAlignment="1" applyProtection="1">
      <alignment horizontal="left"/>
      <protection locked="0"/>
    </xf>
    <xf numFmtId="0" fontId="3" fillId="18" borderId="27" xfId="0" applyFont="1" applyFill="1" applyBorder="1" applyAlignment="1" applyProtection="1">
      <alignment horizontal="left"/>
      <protection locked="0"/>
    </xf>
    <xf numFmtId="0" fontId="3" fillId="18" borderId="22" xfId="0" applyFont="1" applyFill="1" applyBorder="1" applyAlignment="1" applyProtection="1">
      <alignment horizontal="left"/>
      <protection locked="0"/>
    </xf>
    <xf numFmtId="0" fontId="1" fillId="18" borderId="56" xfId="0" applyFont="1" applyFill="1" applyBorder="1" applyAlignment="1" applyProtection="1">
      <alignment horizontal="center"/>
    </xf>
    <xf numFmtId="0" fontId="1" fillId="18" borderId="39" xfId="0" applyFont="1" applyFill="1" applyBorder="1" applyAlignment="1" applyProtection="1">
      <alignment horizontal="center"/>
    </xf>
    <xf numFmtId="0" fontId="1" fillId="18" borderId="60" xfId="0" applyFont="1" applyFill="1" applyBorder="1" applyAlignment="1" applyProtection="1">
      <alignment horizontal="center"/>
    </xf>
    <xf numFmtId="0" fontId="1" fillId="18" borderId="40" xfId="0" applyFont="1" applyFill="1" applyBorder="1" applyAlignment="1" applyProtection="1">
      <alignment horizontal="center"/>
    </xf>
    <xf numFmtId="0" fontId="1" fillId="18" borderId="59" xfId="0" applyFont="1" applyFill="1" applyBorder="1" applyAlignment="1" applyProtection="1">
      <alignment horizontal="center"/>
    </xf>
    <xf numFmtId="0" fontId="1" fillId="18" borderId="41" xfId="0" applyFont="1" applyFill="1" applyBorder="1" applyAlignment="1" applyProtection="1">
      <alignment horizontal="center"/>
    </xf>
    <xf numFmtId="0" fontId="1" fillId="18" borderId="36" xfId="0" applyFont="1" applyFill="1" applyBorder="1" applyAlignment="1" applyProtection="1">
      <alignment horizontal="center"/>
    </xf>
    <xf numFmtId="0" fontId="1" fillId="18" borderId="45" xfId="0" applyFont="1" applyFill="1" applyBorder="1" applyAlignment="1" applyProtection="1">
      <alignment horizontal="center"/>
    </xf>
    <xf numFmtId="0" fontId="9" fillId="0" borderId="42" xfId="0" applyFont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Organisation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Organisation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Organisation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93267</xdr:colOff>
      <xdr:row>1</xdr:row>
      <xdr:rowOff>254000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567" cy="1078730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106683</xdr:colOff>
      <xdr:row>20</xdr:row>
      <xdr:rowOff>175261</xdr:rowOff>
    </xdr:from>
    <xdr:to>
      <xdr:col>6</xdr:col>
      <xdr:colOff>1181101</xdr:colOff>
      <xdr:row>33</xdr:row>
      <xdr:rowOff>150181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647" b="34726"/>
        <a:stretch/>
      </xdr:blipFill>
      <xdr:spPr>
        <a:xfrm>
          <a:off x="106683" y="4411981"/>
          <a:ext cx="8732518" cy="2520000"/>
        </a:xfrm>
        <a:prstGeom prst="rect">
          <a:avLst/>
        </a:prstGeom>
      </xdr:spPr>
    </xdr:pic>
    <xdr:clientData/>
  </xdr:twoCellAnchor>
  <xdr:oneCellAnchor>
    <xdr:from>
      <xdr:col>5</xdr:col>
      <xdr:colOff>579120</xdr:colOff>
      <xdr:row>28</xdr:row>
      <xdr:rowOff>7620</xdr:rowOff>
    </xdr:from>
    <xdr:ext cx="1867114" cy="217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949440" y="5417820"/>
          <a:ext cx="1867114" cy="217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 i="1"/>
            <a:t>Cliquer sur le logo pour revenir au menu</a:t>
          </a:r>
        </a:p>
      </xdr:txBody>
    </xdr:sp>
    <xdr:clientData/>
  </xdr:oneCellAnchor>
  <xdr:twoCellAnchor>
    <xdr:from>
      <xdr:col>6</xdr:col>
      <xdr:colOff>533400</xdr:colOff>
      <xdr:row>26</xdr:row>
      <xdr:rowOff>152400</xdr:rowOff>
    </xdr:from>
    <xdr:to>
      <xdr:col>6</xdr:col>
      <xdr:colOff>632460</xdr:colOff>
      <xdr:row>28</xdr:row>
      <xdr:rowOff>22860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8191500" y="5166360"/>
          <a:ext cx="99060" cy="266700"/>
        </a:xfrm>
        <a:prstGeom prst="line">
          <a:avLst/>
        </a:prstGeom>
        <a:ln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746761</xdr:colOff>
      <xdr:row>1</xdr:row>
      <xdr:rowOff>15240</xdr:rowOff>
    </xdr:from>
    <xdr:to>
      <xdr:col>23</xdr:col>
      <xdr:colOff>92914</xdr:colOff>
      <xdr:row>5</xdr:row>
      <xdr:rowOff>205560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38361" y="327660"/>
          <a:ext cx="1555953" cy="144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1394460</xdr:colOff>
      <xdr:row>0</xdr:row>
      <xdr:rowOff>0</xdr:rowOff>
    </xdr:from>
    <xdr:to>
      <xdr:col>11</xdr:col>
      <xdr:colOff>100533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880110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746760</xdr:colOff>
      <xdr:row>0</xdr:row>
      <xdr:rowOff>0</xdr:rowOff>
    </xdr:from>
    <xdr:to>
      <xdr:col>23</xdr:col>
      <xdr:colOff>92913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3836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114300</xdr:colOff>
      <xdr:row>0</xdr:row>
      <xdr:rowOff>0</xdr:rowOff>
    </xdr:from>
    <xdr:to>
      <xdr:col>22</xdr:col>
      <xdr:colOff>793953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1220724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723900</xdr:colOff>
      <xdr:row>0</xdr:row>
      <xdr:rowOff>0</xdr:rowOff>
    </xdr:from>
    <xdr:to>
      <xdr:col>23</xdr:col>
      <xdr:colOff>70053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1550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91440</xdr:colOff>
      <xdr:row>0</xdr:row>
      <xdr:rowOff>0</xdr:rowOff>
    </xdr:from>
    <xdr:to>
      <xdr:col>22</xdr:col>
      <xdr:colOff>771093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1218438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674370</xdr:colOff>
      <xdr:row>0</xdr:row>
      <xdr:rowOff>69850</xdr:rowOff>
    </xdr:from>
    <xdr:to>
      <xdr:col>23</xdr:col>
      <xdr:colOff>147523</xdr:colOff>
      <xdr:row>4</xdr:row>
      <xdr:rowOff>298450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" t="9444" r="-366" b="7773"/>
        <a:stretch/>
      </xdr:blipFill>
      <xdr:spPr>
        <a:xfrm>
          <a:off x="9881870" y="69850"/>
          <a:ext cx="1733753" cy="149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952381</xdr:colOff>
      <xdr:row>0</xdr:row>
      <xdr:rowOff>1019048</xdr:rowOff>
    </xdr:to>
    <xdr:pic>
      <xdr:nvPicPr>
        <xdr:cNvPr id="6" name="Imag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381" cy="10190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1295401</xdr:colOff>
      <xdr:row>0</xdr:row>
      <xdr:rowOff>129540</xdr:rowOff>
    </xdr:from>
    <xdr:to>
      <xdr:col>4</xdr:col>
      <xdr:colOff>2371648</xdr:colOff>
      <xdr:row>0</xdr:row>
      <xdr:rowOff>1110480</xdr:rowOff>
    </xdr:to>
    <xdr:pic>
      <xdr:nvPicPr>
        <xdr:cNvPr id="7" name="Imag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2"/>
        <a:stretch/>
      </xdr:blipFill>
      <xdr:spPr>
        <a:xfrm>
          <a:off x="9875521" y="129540"/>
          <a:ext cx="1076247" cy="9809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0</xdr:row>
      <xdr:rowOff>0</xdr:rowOff>
    </xdr:from>
    <xdr:to>
      <xdr:col>23</xdr:col>
      <xdr:colOff>241503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10102850" y="0"/>
          <a:ext cx="1606753" cy="146032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819150</xdr:colOff>
      <xdr:row>0</xdr:row>
      <xdr:rowOff>0</xdr:rowOff>
    </xdr:from>
    <xdr:to>
      <xdr:col>23</xdr:col>
      <xdr:colOff>165303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10026650" y="0"/>
          <a:ext cx="1606753" cy="146032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831850</xdr:colOff>
      <xdr:row>0</xdr:row>
      <xdr:rowOff>0</xdr:rowOff>
    </xdr:from>
    <xdr:to>
      <xdr:col>23</xdr:col>
      <xdr:colOff>178003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10039350" y="0"/>
          <a:ext cx="1606753" cy="146032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762000</xdr:colOff>
      <xdr:row>0</xdr:row>
      <xdr:rowOff>0</xdr:rowOff>
    </xdr:from>
    <xdr:to>
      <xdr:col>23</xdr:col>
      <xdr:colOff>108153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969500" y="0"/>
          <a:ext cx="1606753" cy="146032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730250</xdr:colOff>
      <xdr:row>0</xdr:row>
      <xdr:rowOff>0</xdr:rowOff>
    </xdr:from>
    <xdr:to>
      <xdr:col>23</xdr:col>
      <xdr:colOff>76403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937750" y="0"/>
          <a:ext cx="1606753" cy="146032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692150</xdr:colOff>
      <xdr:row>0</xdr:row>
      <xdr:rowOff>0</xdr:rowOff>
    </xdr:from>
    <xdr:to>
      <xdr:col>23</xdr:col>
      <xdr:colOff>38303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899650" y="0"/>
          <a:ext cx="1606753" cy="146032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730250</xdr:colOff>
      <xdr:row>0</xdr:row>
      <xdr:rowOff>0</xdr:rowOff>
    </xdr:from>
    <xdr:ext cx="1606753" cy="1460320"/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16560800" y="0"/>
          <a:ext cx="1606753" cy="1460320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730250</xdr:colOff>
      <xdr:row>0</xdr:row>
      <xdr:rowOff>0</xdr:rowOff>
    </xdr:from>
    <xdr:ext cx="1606753" cy="1460320"/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937750" y="0"/>
          <a:ext cx="1606753" cy="1460320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82550</xdr:colOff>
      <xdr:row>0</xdr:row>
      <xdr:rowOff>0</xdr:rowOff>
    </xdr:from>
    <xdr:to>
      <xdr:col>24</xdr:col>
      <xdr:colOff>762909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14808200" y="0"/>
          <a:ext cx="1575709" cy="146032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831850</xdr:colOff>
      <xdr:row>0</xdr:row>
      <xdr:rowOff>0</xdr:rowOff>
    </xdr:from>
    <xdr:to>
      <xdr:col>24</xdr:col>
      <xdr:colOff>178004</xdr:colOff>
      <xdr:row>4</xdr:row>
      <xdr:rowOff>190320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10039350" y="0"/>
          <a:ext cx="1606753" cy="1460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0</xdr:col>
      <xdr:colOff>952381</xdr:colOff>
      <xdr:row>0</xdr:row>
      <xdr:rowOff>1034288</xdr:rowOff>
    </xdr:to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952381" cy="10190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1295401</xdr:colOff>
      <xdr:row>0</xdr:row>
      <xdr:rowOff>144780</xdr:rowOff>
    </xdr:from>
    <xdr:to>
      <xdr:col>4</xdr:col>
      <xdr:colOff>2371648</xdr:colOff>
      <xdr:row>0</xdr:row>
      <xdr:rowOff>1125720</xdr:rowOff>
    </xdr:to>
    <xdr:pic>
      <xdr:nvPicPr>
        <xdr:cNvPr id="5" name="Imag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2"/>
        <a:stretch/>
      </xdr:blipFill>
      <xdr:spPr>
        <a:xfrm>
          <a:off x="9768841" y="144780"/>
          <a:ext cx="1076247" cy="98094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831850</xdr:colOff>
      <xdr:row>0</xdr:row>
      <xdr:rowOff>0</xdr:rowOff>
    </xdr:from>
    <xdr:to>
      <xdr:col>23</xdr:col>
      <xdr:colOff>178004</xdr:colOff>
      <xdr:row>4</xdr:row>
      <xdr:rowOff>190320</xdr:rowOff>
    </xdr:to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10394950" y="0"/>
          <a:ext cx="1517854" cy="144762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771525</xdr:colOff>
      <xdr:row>0</xdr:row>
      <xdr:rowOff>0</xdr:rowOff>
    </xdr:from>
    <xdr:to>
      <xdr:col>23</xdr:col>
      <xdr:colOff>117679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963150" y="0"/>
          <a:ext cx="1517854" cy="144762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771525</xdr:colOff>
      <xdr:row>0</xdr:row>
      <xdr:rowOff>0</xdr:rowOff>
    </xdr:from>
    <xdr:to>
      <xdr:col>23</xdr:col>
      <xdr:colOff>117679</xdr:colOff>
      <xdr:row>4</xdr:row>
      <xdr:rowOff>190320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963150" y="0"/>
          <a:ext cx="1517854" cy="144762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781050</xdr:colOff>
      <xdr:row>0</xdr:row>
      <xdr:rowOff>0</xdr:rowOff>
    </xdr:from>
    <xdr:to>
      <xdr:col>23</xdr:col>
      <xdr:colOff>127204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972675" y="0"/>
          <a:ext cx="1517854" cy="14476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769620</xdr:colOff>
      <xdr:row>0</xdr:row>
      <xdr:rowOff>0</xdr:rowOff>
    </xdr:from>
    <xdr:to>
      <xdr:col>23</xdr:col>
      <xdr:colOff>115773</xdr:colOff>
      <xdr:row>4</xdr:row>
      <xdr:rowOff>190320</xdr:rowOff>
    </xdr:to>
    <xdr:pic>
      <xdr:nvPicPr>
        <xdr:cNvPr id="6" name="Imag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612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754380</xdr:colOff>
      <xdr:row>0</xdr:row>
      <xdr:rowOff>0</xdr:rowOff>
    </xdr:from>
    <xdr:to>
      <xdr:col>23</xdr:col>
      <xdr:colOff>100533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45980" y="0"/>
          <a:ext cx="1555953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754380</xdr:colOff>
      <xdr:row>0</xdr:row>
      <xdr:rowOff>0</xdr:rowOff>
    </xdr:from>
    <xdr:to>
      <xdr:col>23</xdr:col>
      <xdr:colOff>100533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45980" y="0"/>
          <a:ext cx="1555953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2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showGridLines="0" tabSelected="1" zoomScaleNormal="100" workbookViewId="0">
      <selection activeCell="E8" sqref="E8"/>
    </sheetView>
  </sheetViews>
  <sheetFormatPr baseColWidth="10" defaultRowHeight="15" x14ac:dyDescent="0.25"/>
  <cols>
    <col min="1" max="1" width="14.42578125" bestFit="1" customWidth="1"/>
    <col min="2" max="2" width="22.140625" bestFit="1" customWidth="1"/>
    <col min="3" max="7" width="18.85546875" customWidth="1"/>
  </cols>
  <sheetData>
    <row r="1" spans="1:9" ht="64.7" customHeight="1" x14ac:dyDescent="0.25">
      <c r="A1" s="619" t="s">
        <v>202</v>
      </c>
      <c r="B1" s="619"/>
      <c r="C1" s="619"/>
      <c r="D1" s="619"/>
      <c r="E1" s="619"/>
      <c r="F1" s="619"/>
      <c r="G1" s="619"/>
    </row>
    <row r="2" spans="1:9" ht="38.450000000000003" customHeight="1" thickBot="1" x14ac:dyDescent="0.3">
      <c r="A2" s="439"/>
      <c r="B2" s="439"/>
      <c r="C2" s="439"/>
      <c r="D2" s="439"/>
      <c r="E2" s="440"/>
      <c r="F2" s="441"/>
      <c r="G2" s="441"/>
    </row>
    <row r="3" spans="1:9" ht="35.1" customHeight="1" thickBot="1" x14ac:dyDescent="0.3">
      <c r="A3" s="620" t="s">
        <v>200</v>
      </c>
      <c r="B3" s="621"/>
      <c r="C3" s="621"/>
      <c r="D3" s="621"/>
      <c r="E3" s="342" t="s">
        <v>204</v>
      </c>
      <c r="F3" s="343"/>
      <c r="G3" s="344"/>
    </row>
    <row r="4" spans="1:9" ht="35.1" customHeight="1" thickBot="1" x14ac:dyDescent="0.4">
      <c r="A4" s="335" t="s">
        <v>102</v>
      </c>
      <c r="B4" s="334" t="s">
        <v>196</v>
      </c>
      <c r="C4" s="337" t="s">
        <v>106</v>
      </c>
      <c r="D4" s="336" t="s">
        <v>162</v>
      </c>
      <c r="E4" s="336" t="s">
        <v>107</v>
      </c>
      <c r="F4" s="336" t="s">
        <v>108</v>
      </c>
      <c r="G4" s="339" t="s">
        <v>109</v>
      </c>
      <c r="I4" s="229"/>
    </row>
    <row r="5" spans="1:9" ht="35.1" customHeight="1" x14ac:dyDescent="0.25">
      <c r="A5" s="634" t="s">
        <v>194</v>
      </c>
      <c r="B5" s="340" t="s">
        <v>197</v>
      </c>
      <c r="C5" s="390" t="s">
        <v>110</v>
      </c>
      <c r="D5" s="631" t="s">
        <v>113</v>
      </c>
      <c r="E5" s="633" t="s">
        <v>114</v>
      </c>
      <c r="F5" s="496" t="s">
        <v>260</v>
      </c>
      <c r="G5" s="624" t="s">
        <v>195</v>
      </c>
    </row>
    <row r="6" spans="1:9" ht="35.1" customHeight="1" x14ac:dyDescent="0.25">
      <c r="A6" s="635"/>
      <c r="B6" s="622" t="s">
        <v>198</v>
      </c>
      <c r="C6" s="630" t="s">
        <v>112</v>
      </c>
      <c r="D6" s="632"/>
      <c r="E6" s="628"/>
      <c r="F6" s="626" t="s">
        <v>259</v>
      </c>
      <c r="G6" s="625"/>
    </row>
    <row r="7" spans="1:9" ht="35.1" customHeight="1" x14ac:dyDescent="0.25">
      <c r="A7" s="431" t="s">
        <v>105</v>
      </c>
      <c r="B7" s="622"/>
      <c r="C7" s="630"/>
      <c r="D7" s="632"/>
      <c r="E7" s="628"/>
      <c r="F7" s="627"/>
      <c r="G7" s="625"/>
    </row>
    <row r="8" spans="1:9" ht="35.1" customHeight="1" x14ac:dyDescent="0.25">
      <c r="A8" s="379" t="s">
        <v>215</v>
      </c>
      <c r="B8" s="622" t="s">
        <v>199</v>
      </c>
      <c r="C8" s="430" t="s">
        <v>116</v>
      </c>
      <c r="D8" s="429" t="s">
        <v>117</v>
      </c>
      <c r="E8" s="429" t="s">
        <v>118</v>
      </c>
      <c r="F8" s="497" t="s">
        <v>258</v>
      </c>
      <c r="G8" s="625"/>
    </row>
    <row r="9" spans="1:9" s="338" customFormat="1" ht="35.1" customHeight="1" x14ac:dyDescent="0.25">
      <c r="A9" s="379" t="s">
        <v>213</v>
      </c>
      <c r="B9" s="622"/>
      <c r="C9" s="630" t="s">
        <v>119</v>
      </c>
      <c r="D9" s="628" t="s">
        <v>168</v>
      </c>
      <c r="E9" s="628" t="s">
        <v>170</v>
      </c>
      <c r="F9" s="628" t="s">
        <v>171</v>
      </c>
      <c r="G9" s="642" t="s">
        <v>172</v>
      </c>
      <c r="H9"/>
    </row>
    <row r="10" spans="1:9" ht="35.1" customHeight="1" thickBot="1" x14ac:dyDescent="0.3">
      <c r="A10" s="380" t="s">
        <v>214</v>
      </c>
      <c r="B10" s="623"/>
      <c r="C10" s="636"/>
      <c r="D10" s="629"/>
      <c r="E10" s="629"/>
      <c r="F10" s="629"/>
      <c r="G10" s="643"/>
    </row>
    <row r="11" spans="1:9" ht="35.1" customHeight="1" thickBot="1" x14ac:dyDescent="0.3">
      <c r="A11" s="442"/>
      <c r="B11" s="443"/>
      <c r="C11" s="444"/>
      <c r="D11" s="444"/>
      <c r="E11" s="444"/>
      <c r="F11" s="444"/>
      <c r="G11" s="445"/>
    </row>
    <row r="12" spans="1:9" ht="35.1" customHeight="1" thickBot="1" x14ac:dyDescent="0.3">
      <c r="A12" s="620" t="s">
        <v>201</v>
      </c>
      <c r="B12" s="621"/>
      <c r="C12" s="621"/>
      <c r="D12" s="621"/>
      <c r="E12" s="376" t="s">
        <v>203</v>
      </c>
      <c r="F12" s="377"/>
      <c r="G12" s="378"/>
      <c r="H12" s="341"/>
    </row>
    <row r="13" spans="1:9" ht="35.1" customHeight="1" thickBot="1" x14ac:dyDescent="0.3">
      <c r="A13" s="335" t="s">
        <v>102</v>
      </c>
      <c r="B13" s="559" t="s">
        <v>196</v>
      </c>
      <c r="C13" s="560" t="s">
        <v>106</v>
      </c>
      <c r="D13" s="437" t="s">
        <v>107</v>
      </c>
      <c r="E13" s="437" t="s">
        <v>332</v>
      </c>
      <c r="F13" s="562" t="s">
        <v>109</v>
      </c>
      <c r="G13" s="563" t="s">
        <v>232</v>
      </c>
    </row>
    <row r="14" spans="1:9" ht="35.1" customHeight="1" x14ac:dyDescent="0.25">
      <c r="A14" s="634" t="s">
        <v>194</v>
      </c>
      <c r="B14" s="438" t="s">
        <v>197</v>
      </c>
      <c r="C14" s="561" t="s">
        <v>233</v>
      </c>
      <c r="D14" s="649" t="s">
        <v>235</v>
      </c>
      <c r="E14" s="517" t="s">
        <v>236</v>
      </c>
      <c r="F14" s="639" t="s">
        <v>240</v>
      </c>
      <c r="G14" s="644" t="s">
        <v>320</v>
      </c>
    </row>
    <row r="15" spans="1:9" ht="35.1" customHeight="1" x14ac:dyDescent="0.25">
      <c r="A15" s="635"/>
      <c r="B15" s="645" t="s">
        <v>198</v>
      </c>
      <c r="C15" s="646" t="s">
        <v>234</v>
      </c>
      <c r="D15" s="650"/>
      <c r="E15" s="637" t="s">
        <v>237</v>
      </c>
      <c r="F15" s="640"/>
      <c r="G15" s="642"/>
    </row>
    <row r="16" spans="1:9" ht="35.1" customHeight="1" x14ac:dyDescent="0.25">
      <c r="A16" s="406" t="s">
        <v>105</v>
      </c>
      <c r="B16" s="645"/>
      <c r="C16" s="646"/>
      <c r="D16" s="638"/>
      <c r="E16" s="638"/>
      <c r="F16" s="641"/>
      <c r="G16" s="582" t="s">
        <v>336</v>
      </c>
    </row>
    <row r="17" spans="1:8" ht="35.1" customHeight="1" x14ac:dyDescent="0.25">
      <c r="A17" s="647" t="s">
        <v>104</v>
      </c>
      <c r="B17" s="652" t="s">
        <v>331</v>
      </c>
      <c r="C17" s="654" t="s">
        <v>340</v>
      </c>
      <c r="D17" s="655"/>
      <c r="E17" s="516" t="s">
        <v>238</v>
      </c>
      <c r="F17" s="637" t="s">
        <v>254</v>
      </c>
      <c r="G17" s="582" t="s">
        <v>347</v>
      </c>
      <c r="H17" s="338"/>
    </row>
    <row r="18" spans="1:8" ht="35.1" customHeight="1" x14ac:dyDescent="0.25">
      <c r="A18" s="648"/>
      <c r="B18" s="653"/>
      <c r="C18" s="656"/>
      <c r="D18" s="657"/>
      <c r="E18" s="637" t="s">
        <v>239</v>
      </c>
      <c r="F18" s="638"/>
      <c r="G18" s="582" t="s">
        <v>348</v>
      </c>
    </row>
    <row r="19" spans="1:8" ht="35.1" customHeight="1" thickBot="1" x14ac:dyDescent="0.3">
      <c r="A19" s="380" t="s">
        <v>103</v>
      </c>
      <c r="B19" s="518" t="s">
        <v>199</v>
      </c>
      <c r="C19" s="658"/>
      <c r="D19" s="659"/>
      <c r="E19" s="651"/>
      <c r="F19" s="519" t="s">
        <v>298</v>
      </c>
      <c r="G19" s="612" t="s">
        <v>349</v>
      </c>
    </row>
    <row r="20" spans="1:8" ht="15.75" thickBot="1" x14ac:dyDescent="0.3"/>
    <row r="21" spans="1:8" ht="14.45" customHeight="1" x14ac:dyDescent="0.25">
      <c r="A21" s="613" t="s">
        <v>218</v>
      </c>
      <c r="B21" s="614"/>
      <c r="C21" s="614"/>
      <c r="D21" s="614"/>
      <c r="E21" s="614"/>
      <c r="F21" s="614"/>
      <c r="G21" s="615"/>
    </row>
    <row r="22" spans="1:8" ht="14.45" customHeight="1" x14ac:dyDescent="0.25">
      <c r="A22" s="616"/>
      <c r="B22" s="617"/>
      <c r="C22" s="617"/>
      <c r="D22" s="617"/>
      <c r="E22" s="617"/>
      <c r="F22" s="617"/>
      <c r="G22" s="618"/>
    </row>
    <row r="23" spans="1:8" ht="15.75" x14ac:dyDescent="0.25">
      <c r="A23" s="384"/>
      <c r="B23" s="385"/>
      <c r="C23" s="385"/>
      <c r="D23" s="385"/>
      <c r="E23" s="385"/>
      <c r="F23" s="385"/>
      <c r="G23" s="386"/>
    </row>
    <row r="24" spans="1:8" ht="15.75" x14ac:dyDescent="0.25">
      <c r="A24" s="384"/>
      <c r="B24" s="385"/>
      <c r="C24" s="385"/>
      <c r="D24" s="385"/>
      <c r="E24" s="385"/>
      <c r="F24" s="385"/>
      <c r="G24" s="386"/>
    </row>
    <row r="25" spans="1:8" ht="15.75" x14ac:dyDescent="0.25">
      <c r="A25" s="384"/>
      <c r="B25" s="385"/>
      <c r="C25" s="385"/>
      <c r="D25" s="385"/>
      <c r="E25" s="385"/>
      <c r="F25" s="385"/>
      <c r="G25" s="386"/>
    </row>
    <row r="26" spans="1:8" ht="15.75" x14ac:dyDescent="0.25">
      <c r="A26" s="384"/>
      <c r="B26" s="385"/>
      <c r="C26" s="385"/>
      <c r="D26" s="385"/>
      <c r="E26" s="385"/>
      <c r="F26" s="385"/>
      <c r="G26" s="386"/>
    </row>
    <row r="27" spans="1:8" ht="15.75" x14ac:dyDescent="0.25">
      <c r="A27" s="384"/>
      <c r="B27" s="385"/>
      <c r="C27" s="385"/>
      <c r="D27" s="385"/>
      <c r="E27" s="385"/>
      <c r="F27" s="385"/>
      <c r="G27" s="386"/>
    </row>
    <row r="28" spans="1:8" ht="15.75" x14ac:dyDescent="0.25">
      <c r="A28" s="384"/>
      <c r="B28" s="385"/>
      <c r="C28" s="385"/>
      <c r="D28" s="385"/>
      <c r="E28" s="385"/>
      <c r="F28" s="385"/>
      <c r="G28" s="386"/>
    </row>
    <row r="29" spans="1:8" ht="15.75" x14ac:dyDescent="0.25">
      <c r="A29" s="384"/>
      <c r="B29" s="385"/>
      <c r="C29" s="385"/>
      <c r="D29" s="385"/>
      <c r="E29" s="385"/>
      <c r="F29" s="385"/>
      <c r="G29" s="386"/>
    </row>
    <row r="30" spans="1:8" ht="15.75" x14ac:dyDescent="0.25">
      <c r="A30" s="384"/>
      <c r="B30" s="385"/>
      <c r="C30" s="385"/>
      <c r="D30" s="385"/>
      <c r="E30" s="385"/>
      <c r="F30" s="385"/>
      <c r="G30" s="386"/>
    </row>
    <row r="31" spans="1:8" ht="15.75" x14ac:dyDescent="0.25">
      <c r="A31" s="384"/>
      <c r="B31" s="385"/>
      <c r="C31" s="385"/>
      <c r="D31" s="385"/>
      <c r="E31" s="385"/>
      <c r="F31" s="385"/>
      <c r="G31" s="386"/>
    </row>
    <row r="32" spans="1:8" ht="15.75" x14ac:dyDescent="0.25">
      <c r="A32" s="384"/>
      <c r="B32" s="385"/>
      <c r="C32" s="385"/>
      <c r="D32" s="385"/>
      <c r="E32" s="385"/>
      <c r="F32" s="385"/>
      <c r="G32" s="386"/>
    </row>
    <row r="33" spans="1:7" ht="15.75" x14ac:dyDescent="0.25">
      <c r="A33" s="384"/>
      <c r="B33" s="385"/>
      <c r="C33" s="385"/>
      <c r="D33" s="385"/>
      <c r="E33" s="385"/>
      <c r="F33" s="385"/>
      <c r="G33" s="386"/>
    </row>
    <row r="34" spans="1:7" ht="16.5" thickBot="1" x14ac:dyDescent="0.3">
      <c r="A34" s="387"/>
      <c r="B34" s="388"/>
      <c r="C34" s="388"/>
      <c r="D34" s="388"/>
      <c r="E34" s="388"/>
      <c r="F34" s="388"/>
      <c r="G34" s="389"/>
    </row>
    <row r="35" spans="1:7" ht="15.75" x14ac:dyDescent="0.25">
      <c r="A35" s="385"/>
      <c r="B35" s="385"/>
      <c r="C35" s="385"/>
      <c r="D35" s="385"/>
      <c r="E35" s="385"/>
      <c r="F35" s="385"/>
      <c r="G35" s="385"/>
    </row>
  </sheetData>
  <sheetProtection sheet="1" objects="1" scenarios="1"/>
  <mergeCells count="29">
    <mergeCell ref="F17:F18"/>
    <mergeCell ref="F14:F16"/>
    <mergeCell ref="G9:G10"/>
    <mergeCell ref="A14:A15"/>
    <mergeCell ref="G14:G15"/>
    <mergeCell ref="B15:B16"/>
    <mergeCell ref="C15:C16"/>
    <mergeCell ref="A17:A18"/>
    <mergeCell ref="E15:E16"/>
    <mergeCell ref="D14:D16"/>
    <mergeCell ref="E18:E19"/>
    <mergeCell ref="B17:B18"/>
    <mergeCell ref="C17:D19"/>
    <mergeCell ref="A21:G22"/>
    <mergeCell ref="A1:G1"/>
    <mergeCell ref="A3:D3"/>
    <mergeCell ref="A12:D12"/>
    <mergeCell ref="B6:B7"/>
    <mergeCell ref="B8:B10"/>
    <mergeCell ref="G5:G8"/>
    <mergeCell ref="F6:F7"/>
    <mergeCell ref="F9:F10"/>
    <mergeCell ref="C6:C7"/>
    <mergeCell ref="D5:D7"/>
    <mergeCell ref="E5:E7"/>
    <mergeCell ref="A5:A6"/>
    <mergeCell ref="C9:C10"/>
    <mergeCell ref="D9:D10"/>
    <mergeCell ref="E9:E10"/>
  </mergeCells>
  <hyperlinks>
    <hyperlink ref="C5" location="TOURNOI_FUTSAL_A_8_EQUIPES___A_PARTIR_DE_U13" display="Page 4" xr:uid="{00000000-0004-0000-0000-000000000000}"/>
    <hyperlink ref="F6:F7" location="'U11 U13 - 16 Equipes'!A1" display="Page 9" xr:uid="{00000000-0004-0000-0000-000001000000}"/>
    <hyperlink ref="C8" location="'U9 - 8 Equipes'!A1" display="Page 10" xr:uid="{00000000-0004-0000-0000-000002000000}"/>
    <hyperlink ref="E8" location="'U9 - 12 Equipes'!A1" display="Page 12" xr:uid="{00000000-0004-0000-0000-000003000000}"/>
    <hyperlink ref="F9:F10" location="'U7-U9 - 16 Equipes'!A1" display="Page 17" xr:uid="{00000000-0004-0000-0000-000004000000}"/>
    <hyperlink ref="D5:D7" location="'U11 U13 - 10 Equipes'!A1" display="Page 7" xr:uid="{00000000-0004-0000-0000-000005000000}"/>
    <hyperlink ref="C6:C7" location="'U11 U13 - 8 Equipes'!A1" display="Page 6" xr:uid="{00000000-0004-0000-0000-000006000000}"/>
    <hyperlink ref="E5:E7" location="'U11 U13 - 12 Equipes'!A1" display="Page 8" xr:uid="{00000000-0004-0000-0000-000007000000}"/>
    <hyperlink ref="D8" location="'U9 - 10 Equipes'!A1" display="Page 11" xr:uid="{00000000-0004-0000-0000-000008000000}"/>
    <hyperlink ref="C9:C10" location="'U7-U9 - 8 Equipes'!A1" display="Page 14" xr:uid="{00000000-0004-0000-0000-000009000000}"/>
    <hyperlink ref="D9:D10" location="'U7-U9 - 10 Equipes'!A1" display="Page 15" xr:uid="{00000000-0004-0000-0000-00000A000000}"/>
    <hyperlink ref="E9:E10" location="'U7-U9 - 12 Equipes'!A1" display="Page 16" xr:uid="{00000000-0004-0000-0000-00000B000000}"/>
    <hyperlink ref="G9:G10" location="'U7-U9 - 24 Equipes'!A1" display="Page 18" xr:uid="{00000000-0004-0000-0000-00000C000000}"/>
    <hyperlink ref="E3" location="'CC Futsal'!A1" display="Cahier des charges (Page 3)" xr:uid="{00000000-0004-0000-0000-00000D000000}"/>
    <hyperlink ref="F5" location="'16 Equipes - Eliminatoire'!A1" display="Page 5" xr:uid="{00000000-0004-0000-0000-00000E000000}"/>
    <hyperlink ref="F8" location="'U9 - 16 Equipes'!A1" display="Page 18" xr:uid="{00000000-0004-0000-0000-00000F000000}"/>
    <hyperlink ref="E12" location="'CC Ext'!A1" display="Cahier des charges (Page 2)" xr:uid="{00000000-0004-0000-0000-000010000000}"/>
    <hyperlink ref="C14" location="'8 Eq - Eliminatoire'!A1" display="Page 19" xr:uid="{00000000-0004-0000-0000-000011000000}"/>
    <hyperlink ref="C15:C16" location="'8Eq - U11 U13'!Zone_d_impression" display="Page 20" xr:uid="{00000000-0004-0000-0000-000012000000}"/>
    <hyperlink ref="D14" location="'12 Eq - U11'!Zone_d_impression" display="Page 21" xr:uid="{00000000-0004-0000-0000-000013000000}"/>
    <hyperlink ref="E14" location="'16 Eq - U13'!Zone_d_impression" display="Page 22" xr:uid="{00000000-0004-0000-0000-000014000000}"/>
    <hyperlink ref="E15" location="'16 Eq - U11'!Zone_d_impression" display="Page 23" xr:uid="{00000000-0004-0000-0000-000015000000}"/>
    <hyperlink ref="E17" location="'16 Eq - U9'!Zone_d_impression" display="Page 24" xr:uid="{00000000-0004-0000-0000-000016000000}"/>
    <hyperlink ref="E18" location="'16 Eq - U7'!Zone_d_impression" display="Page 25" xr:uid="{00000000-0004-0000-0000-000017000000}"/>
    <hyperlink ref="F19" location="'24 Eq - U7'!Zone_d_impression" display="Page 27" xr:uid="{00000000-0004-0000-0000-000018000000}"/>
    <hyperlink ref="G14:G15" location="'32 Eq - U13'!A1" display="A faire Page 28" xr:uid="{00000000-0004-0000-0000-000019000000}"/>
    <hyperlink ref="G16" location="'32 Eq - U11'!A1" display="A faire Page 29" xr:uid="{00000000-0004-0000-0000-00001A000000}"/>
    <hyperlink ref="G19" location="'32 Eq - U7'!A1" display="'32 Eq - U7'!A1" xr:uid="{00000000-0004-0000-0000-00001B000000}"/>
    <hyperlink ref="G17" location="'32 Eq - U9'!Zone_d_impression" display="'32 Eq - U9'!Zone_d_impression" xr:uid="{00000000-0004-0000-0000-00001C000000}"/>
    <hyperlink ref="G18" location="'32 Eq - U9 (4t)'!Zone_d_impression" display="'32 Eq - U9 (4t)'!Zone_d_impression" xr:uid="{00000000-0004-0000-0000-00001D000000}"/>
    <hyperlink ref="F17:F18" location="'24 Eq - U9'!Zone_d_impression" display="Page 28" xr:uid="{00000000-0004-0000-0000-00001E000000}"/>
    <hyperlink ref="F14:F15" location="'24 Eq - U13'!Zone_d_impression" display="Page 26" xr:uid="{00000000-0004-0000-0000-00001F000000}"/>
  </hyperlinks>
  <printOptions horizontalCentered="1"/>
  <pageMargins left="0.31496062992125984" right="0.31496062992125984" top="3.937007874015748E-2" bottom="3.937007874015748E-2" header="7.874015748031496E-2" footer="7.874015748031496E-2"/>
  <pageSetup paperSize="9" scale="74" fitToHeight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27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16384" width="11.5703125" style="1"/>
  </cols>
  <sheetData>
    <row r="1" spans="1:23" ht="24.95" customHeight="1" x14ac:dyDescent="0.25">
      <c r="A1" s="821" t="s">
        <v>188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3"/>
      <c r="U1" s="826"/>
      <c r="V1" s="827"/>
      <c r="W1" s="828"/>
    </row>
    <row r="2" spans="1:23" ht="24.95" customHeight="1" x14ac:dyDescent="0.25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30"/>
      <c r="S2" s="330"/>
      <c r="T2" s="331"/>
      <c r="U2" s="829"/>
      <c r="V2" s="830"/>
      <c r="W2" s="831"/>
    </row>
    <row r="3" spans="1:23" ht="24.95" customHeight="1" x14ac:dyDescent="0.25">
      <c r="A3" s="262" t="s">
        <v>189</v>
      </c>
      <c r="B3" s="104"/>
      <c r="C3" s="104"/>
      <c r="D3" s="104"/>
      <c r="E3" s="104"/>
      <c r="F3" s="310"/>
      <c r="G3" s="104"/>
      <c r="H3" s="104"/>
      <c r="I3" s="104"/>
      <c r="J3" s="104"/>
      <c r="K3" s="104"/>
      <c r="L3" s="104"/>
      <c r="M3" s="104"/>
      <c r="N3" s="104"/>
      <c r="O3" s="104"/>
      <c r="P3" s="218"/>
      <c r="Q3" s="218"/>
      <c r="R3" s="218"/>
      <c r="S3" s="218"/>
      <c r="T3" s="326"/>
      <c r="U3" s="829"/>
      <c r="V3" s="830"/>
      <c r="W3" s="831"/>
    </row>
    <row r="4" spans="1:23" ht="24.95" customHeight="1" thickBot="1" x14ac:dyDescent="0.3">
      <c r="A4" s="263" t="s">
        <v>190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218"/>
      <c r="Q4" s="218"/>
      <c r="R4" s="218"/>
      <c r="S4" s="218"/>
      <c r="T4" s="326"/>
      <c r="U4" s="829"/>
      <c r="V4" s="830"/>
      <c r="W4" s="831"/>
    </row>
    <row r="5" spans="1:23" ht="24.95" customHeight="1" thickBot="1" x14ac:dyDescent="0.3">
      <c r="A5" s="263" t="s">
        <v>52</v>
      </c>
      <c r="B5" s="311"/>
      <c r="C5" s="311"/>
      <c r="D5" s="311"/>
      <c r="E5" s="738">
        <v>0.35416666666666669</v>
      </c>
      <c r="F5" s="739"/>
      <c r="G5" s="740"/>
      <c r="H5" s="311"/>
      <c r="I5" s="264" t="s">
        <v>54</v>
      </c>
      <c r="J5" s="264"/>
      <c r="K5" s="312"/>
      <c r="L5" s="742">
        <f>(3*G8)+(3*S8)</f>
        <v>3.3333333333333333E-2</v>
      </c>
      <c r="M5" s="742"/>
      <c r="N5" s="264" t="s">
        <v>33</v>
      </c>
      <c r="O5" s="264"/>
      <c r="P5" s="218"/>
      <c r="Q5" s="218"/>
      <c r="R5" s="218"/>
      <c r="S5" s="218"/>
      <c r="T5" s="326"/>
      <c r="U5" s="829"/>
      <c r="V5" s="830"/>
      <c r="W5" s="831"/>
    </row>
    <row r="6" spans="1:23" ht="24.95" customHeight="1" thickBot="1" x14ac:dyDescent="0.3">
      <c r="A6" s="263" t="s">
        <v>32</v>
      </c>
      <c r="B6" s="104"/>
      <c r="C6" s="104"/>
      <c r="D6" s="104"/>
      <c r="E6" s="992">
        <f>S25-A16+S8+"00:02"</f>
        <v>0.16666666666666616</v>
      </c>
      <c r="F6" s="992"/>
      <c r="G6" s="992"/>
      <c r="H6" s="104"/>
      <c r="I6" s="312" t="s">
        <v>79</v>
      </c>
      <c r="J6" s="312"/>
      <c r="K6" s="312"/>
      <c r="L6" s="687">
        <v>0</v>
      </c>
      <c r="M6" s="688"/>
      <c r="N6" s="104"/>
      <c r="O6" s="104"/>
      <c r="P6" s="218"/>
      <c r="Q6" s="218"/>
      <c r="R6" s="218"/>
      <c r="S6" s="218"/>
      <c r="T6" s="326"/>
      <c r="U6" s="829"/>
      <c r="V6" s="830"/>
      <c r="W6" s="831"/>
    </row>
    <row r="7" spans="1:23" ht="24.95" customHeight="1" thickBot="1" x14ac:dyDescent="0.3">
      <c r="A7" s="317"/>
      <c r="B7" s="215"/>
      <c r="C7" s="215"/>
      <c r="D7" s="215"/>
      <c r="E7" s="214"/>
      <c r="F7" s="214"/>
      <c r="G7" s="214"/>
      <c r="H7" s="215"/>
      <c r="I7" s="216"/>
      <c r="J7" s="216"/>
      <c r="K7" s="216"/>
      <c r="L7" s="217"/>
      <c r="M7" s="217"/>
      <c r="N7" s="215"/>
      <c r="O7" s="215"/>
      <c r="P7" s="213"/>
      <c r="Q7" s="213"/>
      <c r="R7" s="213"/>
      <c r="S7" s="213"/>
      <c r="T7" s="327"/>
      <c r="U7" s="832"/>
      <c r="V7" s="833"/>
      <c r="W7" s="834"/>
    </row>
    <row r="8" spans="1:23" ht="16.5" thickBot="1" x14ac:dyDescent="0.3">
      <c r="A8" s="701" t="s">
        <v>85</v>
      </c>
      <c r="B8" s="685"/>
      <c r="C8" s="685"/>
      <c r="D8" s="686" t="s">
        <v>18</v>
      </c>
      <c r="E8" s="686"/>
      <c r="F8" s="686"/>
      <c r="G8" s="782">
        <v>5.5555555555555558E-3</v>
      </c>
      <c r="H8" s="782"/>
      <c r="I8" s="72" t="s">
        <v>17</v>
      </c>
      <c r="J8" s="72"/>
      <c r="K8" s="80"/>
      <c r="L8" s="109"/>
      <c r="M8" s="701" t="s">
        <v>86</v>
      </c>
      <c r="N8" s="685"/>
      <c r="O8" s="685"/>
      <c r="P8" s="868" t="s">
        <v>18</v>
      </c>
      <c r="Q8" s="868"/>
      <c r="R8" s="868"/>
      <c r="S8" s="782">
        <v>5.5555555555555558E-3</v>
      </c>
      <c r="T8" s="782"/>
      <c r="U8" s="72" t="s">
        <v>17</v>
      </c>
      <c r="V8" s="72"/>
      <c r="W8" s="80"/>
    </row>
    <row r="9" spans="1:23" x14ac:dyDescent="0.25">
      <c r="A9" s="6"/>
      <c r="B9" s="744" t="s">
        <v>41</v>
      </c>
      <c r="C9" s="745"/>
      <c r="D9" s="974"/>
      <c r="E9" s="975"/>
      <c r="F9" s="102"/>
      <c r="G9" s="7"/>
      <c r="H9" s="747" t="s">
        <v>42</v>
      </c>
      <c r="I9" s="748"/>
      <c r="J9" s="980"/>
      <c r="K9" s="981"/>
      <c r="L9" s="110"/>
      <c r="M9" s="8"/>
      <c r="N9" s="804" t="s">
        <v>41</v>
      </c>
      <c r="O9" s="805"/>
      <c r="P9" s="986"/>
      <c r="Q9" s="987"/>
      <c r="R9" s="102"/>
      <c r="S9" s="9"/>
      <c r="T9" s="807" t="s">
        <v>42</v>
      </c>
      <c r="U9" s="808"/>
      <c r="V9" s="966"/>
      <c r="W9" s="967"/>
    </row>
    <row r="10" spans="1:23" x14ac:dyDescent="0.25">
      <c r="A10" s="10">
        <v>1</v>
      </c>
      <c r="B10" s="731" t="s">
        <v>22</v>
      </c>
      <c r="C10" s="732"/>
      <c r="D10" s="976"/>
      <c r="E10" s="977"/>
      <c r="F10" s="103"/>
      <c r="G10" s="11">
        <v>1</v>
      </c>
      <c r="H10" s="727" t="s">
        <v>26</v>
      </c>
      <c r="I10" s="728"/>
      <c r="J10" s="982"/>
      <c r="K10" s="983"/>
      <c r="L10" s="110"/>
      <c r="M10" s="12">
        <v>1</v>
      </c>
      <c r="N10" s="844" t="str">
        <f>B10</f>
        <v>Equipe 1</v>
      </c>
      <c r="O10" s="845"/>
      <c r="P10" s="988"/>
      <c r="Q10" s="989"/>
      <c r="R10" s="103"/>
      <c r="S10" s="13">
        <v>1</v>
      </c>
      <c r="T10" s="835" t="str">
        <f>H10</f>
        <v>Equipe 5</v>
      </c>
      <c r="U10" s="836"/>
      <c r="V10" s="968"/>
      <c r="W10" s="969"/>
    </row>
    <row r="11" spans="1:23" x14ac:dyDescent="0.25">
      <c r="A11" s="10">
        <v>2</v>
      </c>
      <c r="B11" s="731" t="s">
        <v>23</v>
      </c>
      <c r="C11" s="732"/>
      <c r="D11" s="976"/>
      <c r="E11" s="977"/>
      <c r="F11" s="103"/>
      <c r="G11" s="11">
        <v>2</v>
      </c>
      <c r="H11" s="727" t="s">
        <v>27</v>
      </c>
      <c r="I11" s="728"/>
      <c r="J11" s="982"/>
      <c r="K11" s="983"/>
      <c r="L11" s="110"/>
      <c r="M11" s="12">
        <v>2</v>
      </c>
      <c r="N11" s="844" t="str">
        <f>H11</f>
        <v>Equipe 6</v>
      </c>
      <c r="O11" s="845"/>
      <c r="P11" s="988"/>
      <c r="Q11" s="989"/>
      <c r="R11" s="103"/>
      <c r="S11" s="13">
        <v>2</v>
      </c>
      <c r="T11" s="835" t="str">
        <f>B11</f>
        <v>Equipe 2</v>
      </c>
      <c r="U11" s="836"/>
      <c r="V11" s="968"/>
      <c r="W11" s="969"/>
    </row>
    <row r="12" spans="1:23" x14ac:dyDescent="0.25">
      <c r="A12" s="10">
        <v>3</v>
      </c>
      <c r="B12" s="731" t="s">
        <v>24</v>
      </c>
      <c r="C12" s="732"/>
      <c r="D12" s="976"/>
      <c r="E12" s="977"/>
      <c r="F12" s="103"/>
      <c r="G12" s="11">
        <v>3</v>
      </c>
      <c r="H12" s="727" t="s">
        <v>28</v>
      </c>
      <c r="I12" s="728"/>
      <c r="J12" s="982"/>
      <c r="K12" s="983"/>
      <c r="L12" s="110"/>
      <c r="M12" s="12">
        <v>3</v>
      </c>
      <c r="N12" s="844" t="str">
        <f>H12</f>
        <v>Equipe 7</v>
      </c>
      <c r="O12" s="845"/>
      <c r="P12" s="988"/>
      <c r="Q12" s="989"/>
      <c r="R12" s="103"/>
      <c r="S12" s="13">
        <v>3</v>
      </c>
      <c r="T12" s="835" t="str">
        <f>B12</f>
        <v>Equipe 3</v>
      </c>
      <c r="U12" s="836"/>
      <c r="V12" s="968"/>
      <c r="W12" s="969"/>
    </row>
    <row r="13" spans="1:23" ht="15.75" thickBot="1" x14ac:dyDescent="0.3">
      <c r="A13" s="15">
        <v>4</v>
      </c>
      <c r="B13" s="717" t="s">
        <v>25</v>
      </c>
      <c r="C13" s="718"/>
      <c r="D13" s="978"/>
      <c r="E13" s="979"/>
      <c r="F13" s="103"/>
      <c r="G13" s="16">
        <v>4</v>
      </c>
      <c r="H13" s="721" t="s">
        <v>29</v>
      </c>
      <c r="I13" s="722"/>
      <c r="J13" s="984"/>
      <c r="K13" s="985"/>
      <c r="L13" s="110"/>
      <c r="M13" s="17">
        <v>4</v>
      </c>
      <c r="N13" s="846" t="str">
        <f>B13</f>
        <v>Equipe 4</v>
      </c>
      <c r="O13" s="847"/>
      <c r="P13" s="990"/>
      <c r="Q13" s="991"/>
      <c r="R13" s="103"/>
      <c r="S13" s="18">
        <v>4</v>
      </c>
      <c r="T13" s="837" t="str">
        <f>H13</f>
        <v>Equipe 8</v>
      </c>
      <c r="U13" s="838"/>
      <c r="V13" s="970"/>
      <c r="W13" s="971"/>
    </row>
    <row r="14" spans="1:23" ht="15.75" thickBot="1" x14ac:dyDescent="0.3">
      <c r="A14" s="19"/>
      <c r="B14" s="2"/>
      <c r="C14" s="2"/>
      <c r="D14" s="2"/>
      <c r="E14" s="2"/>
      <c r="F14" s="2"/>
      <c r="G14" s="2"/>
      <c r="H14" s="2"/>
      <c r="I14" s="20"/>
      <c r="J14" s="2"/>
      <c r="K14" s="21"/>
      <c r="L14" s="110"/>
      <c r="M14" s="19"/>
      <c r="N14" s="2"/>
      <c r="O14" s="2"/>
      <c r="P14" s="2"/>
      <c r="Q14" s="2"/>
      <c r="R14" s="2"/>
      <c r="S14" s="2"/>
      <c r="T14" s="2"/>
      <c r="U14" s="2"/>
      <c r="V14" s="22"/>
      <c r="W14" s="23"/>
    </row>
    <row r="15" spans="1:23" s="29" customFormat="1" x14ac:dyDescent="0.25">
      <c r="A15" s="24"/>
      <c r="B15" s="713" t="s">
        <v>5</v>
      </c>
      <c r="C15" s="713"/>
      <c r="D15" s="950"/>
      <c r="E15" s="951"/>
      <c r="F15" s="25"/>
      <c r="G15" s="26"/>
      <c r="H15" s="715" t="s">
        <v>5</v>
      </c>
      <c r="I15" s="715"/>
      <c r="J15" s="954"/>
      <c r="K15" s="955"/>
      <c r="L15" s="111"/>
      <c r="M15" s="27"/>
      <c r="N15" s="786" t="s">
        <v>10</v>
      </c>
      <c r="O15" s="786"/>
      <c r="P15" s="960"/>
      <c r="Q15" s="961"/>
      <c r="R15" s="25"/>
      <c r="S15" s="28"/>
      <c r="T15" s="784" t="s">
        <v>10</v>
      </c>
      <c r="U15" s="784"/>
      <c r="V15" s="941"/>
      <c r="W15" s="942"/>
    </row>
    <row r="16" spans="1:23" x14ac:dyDescent="0.25">
      <c r="A16" s="30">
        <f>E5</f>
        <v>0.35416666666666669</v>
      </c>
      <c r="B16" s="31" t="str">
        <f>B10</f>
        <v>Equipe 1</v>
      </c>
      <c r="C16" s="31" t="str">
        <f>B11</f>
        <v>Equipe 2</v>
      </c>
      <c r="D16" s="952"/>
      <c r="E16" s="953"/>
      <c r="F16" s="2"/>
      <c r="G16" s="32">
        <f>A17+$G$8+"00:02"</f>
        <v>0.36805555555555552</v>
      </c>
      <c r="H16" s="33" t="str">
        <f>H10</f>
        <v>Equipe 5</v>
      </c>
      <c r="I16" s="33" t="str">
        <f>H11</f>
        <v>Equipe 6</v>
      </c>
      <c r="J16" s="956"/>
      <c r="K16" s="957"/>
      <c r="L16" s="110"/>
      <c r="M16" s="34">
        <f>G25+$G$8+"00:02"+L6</f>
        <v>0.43749999999999972</v>
      </c>
      <c r="N16" s="35" t="str">
        <f>N10</f>
        <v>Equipe 1</v>
      </c>
      <c r="O16" s="35" t="str">
        <f>N11</f>
        <v>Equipe 6</v>
      </c>
      <c r="P16" s="962"/>
      <c r="Q16" s="963"/>
      <c r="R16" s="2"/>
      <c r="S16" s="36">
        <f>M17+$S$8+"00:02"</f>
        <v>0.45138888888888856</v>
      </c>
      <c r="T16" s="37" t="str">
        <f>T10</f>
        <v>Equipe 5</v>
      </c>
      <c r="U16" s="37" t="str">
        <f>T11</f>
        <v>Equipe 2</v>
      </c>
      <c r="V16" s="943"/>
      <c r="W16" s="944"/>
    </row>
    <row r="17" spans="1:23" ht="15.75" thickBot="1" x14ac:dyDescent="0.3">
      <c r="A17" s="38">
        <f>A16+$G$8+"00:02"</f>
        <v>0.3611111111111111</v>
      </c>
      <c r="B17" s="39" t="str">
        <f>B12</f>
        <v>Equipe 3</v>
      </c>
      <c r="C17" s="39" t="str">
        <f>B13</f>
        <v>Equipe 4</v>
      </c>
      <c r="D17" s="972"/>
      <c r="E17" s="973"/>
      <c r="F17" s="2"/>
      <c r="G17" s="40">
        <f>G16+$G$8+"00:02"</f>
        <v>0.37499999999999994</v>
      </c>
      <c r="H17" s="41" t="str">
        <f>H12</f>
        <v>Equipe 7</v>
      </c>
      <c r="I17" s="41" t="str">
        <f>H13</f>
        <v>Equipe 8</v>
      </c>
      <c r="J17" s="958"/>
      <c r="K17" s="959"/>
      <c r="L17" s="110"/>
      <c r="M17" s="42">
        <f>M16+$S$8+"00:02"</f>
        <v>0.44444444444444414</v>
      </c>
      <c r="N17" s="43" t="str">
        <f>N12</f>
        <v>Equipe 7</v>
      </c>
      <c r="O17" s="43" t="str">
        <f>N13</f>
        <v>Equipe 4</v>
      </c>
      <c r="P17" s="964"/>
      <c r="Q17" s="965"/>
      <c r="R17" s="2"/>
      <c r="S17" s="44">
        <f>S16+$S$8+"00:02"</f>
        <v>0.45833333333333298</v>
      </c>
      <c r="T17" s="45" t="str">
        <f>T12</f>
        <v>Equipe 3</v>
      </c>
      <c r="U17" s="45" t="str">
        <f>T13</f>
        <v>Equipe 8</v>
      </c>
      <c r="V17" s="945"/>
      <c r="W17" s="946"/>
    </row>
    <row r="18" spans="1:23" ht="15.75" thickBot="1" x14ac:dyDescent="0.3">
      <c r="A18" s="19"/>
      <c r="B18" s="2"/>
      <c r="C18" s="2"/>
      <c r="D18" s="46"/>
      <c r="E18" s="46"/>
      <c r="F18" s="2"/>
      <c r="G18" s="2"/>
      <c r="H18" s="2"/>
      <c r="I18" s="47"/>
      <c r="J18" s="46"/>
      <c r="K18" s="48"/>
      <c r="L18" s="110"/>
      <c r="M18" s="19"/>
      <c r="N18" s="2"/>
      <c r="O18" s="2"/>
      <c r="P18" s="46"/>
      <c r="Q18" s="46"/>
      <c r="R18" s="2"/>
      <c r="S18" s="2"/>
      <c r="T18" s="2"/>
      <c r="U18" s="2"/>
      <c r="V18" s="46"/>
      <c r="W18" s="48"/>
    </row>
    <row r="19" spans="1:23" s="29" customFormat="1" x14ac:dyDescent="0.25">
      <c r="A19" s="24"/>
      <c r="B19" s="713" t="s">
        <v>6</v>
      </c>
      <c r="C19" s="713"/>
      <c r="D19" s="950"/>
      <c r="E19" s="951"/>
      <c r="F19" s="25"/>
      <c r="G19" s="26"/>
      <c r="H19" s="715" t="s">
        <v>6</v>
      </c>
      <c r="I19" s="715"/>
      <c r="J19" s="954"/>
      <c r="K19" s="955"/>
      <c r="L19" s="111"/>
      <c r="M19" s="27"/>
      <c r="N19" s="786" t="s">
        <v>11</v>
      </c>
      <c r="O19" s="786"/>
      <c r="P19" s="960"/>
      <c r="Q19" s="961"/>
      <c r="R19" s="25"/>
      <c r="S19" s="28"/>
      <c r="T19" s="784" t="s">
        <v>11</v>
      </c>
      <c r="U19" s="784"/>
      <c r="V19" s="941"/>
      <c r="W19" s="942"/>
    </row>
    <row r="20" spans="1:23" x14ac:dyDescent="0.25">
      <c r="A20" s="30">
        <f>G17+$G$8+"00:02"</f>
        <v>0.38194444444444436</v>
      </c>
      <c r="B20" s="31" t="str">
        <f>B10</f>
        <v>Equipe 1</v>
      </c>
      <c r="C20" s="31" t="str">
        <f>B12</f>
        <v>Equipe 3</v>
      </c>
      <c r="D20" s="952"/>
      <c r="E20" s="953"/>
      <c r="F20" s="2"/>
      <c r="G20" s="32">
        <f>A21+$G$8+"00:02"</f>
        <v>0.3958333333333332</v>
      </c>
      <c r="H20" s="33" t="str">
        <f>H10</f>
        <v>Equipe 5</v>
      </c>
      <c r="I20" s="33" t="str">
        <f>H12</f>
        <v>Equipe 7</v>
      </c>
      <c r="J20" s="956"/>
      <c r="K20" s="957"/>
      <c r="L20" s="110"/>
      <c r="M20" s="34">
        <f>S17+$S$8+"00:02"</f>
        <v>0.4652777777777774</v>
      </c>
      <c r="N20" s="35" t="str">
        <f>N10</f>
        <v>Equipe 1</v>
      </c>
      <c r="O20" s="35" t="str">
        <f>N12</f>
        <v>Equipe 7</v>
      </c>
      <c r="P20" s="962"/>
      <c r="Q20" s="963"/>
      <c r="R20" s="2"/>
      <c r="S20" s="36">
        <f>M21+$S$8+"00:02"</f>
        <v>0.47916666666666624</v>
      </c>
      <c r="T20" s="37" t="str">
        <f>T10</f>
        <v>Equipe 5</v>
      </c>
      <c r="U20" s="37" t="str">
        <f>T12</f>
        <v>Equipe 3</v>
      </c>
      <c r="V20" s="943"/>
      <c r="W20" s="944"/>
    </row>
    <row r="21" spans="1:23" ht="15.75" thickBot="1" x14ac:dyDescent="0.3">
      <c r="A21" s="38">
        <f>A20+$G$8+"00:02"</f>
        <v>0.38888888888888878</v>
      </c>
      <c r="B21" s="39" t="str">
        <f>B11</f>
        <v>Equipe 2</v>
      </c>
      <c r="C21" s="39" t="str">
        <f>B13</f>
        <v>Equipe 4</v>
      </c>
      <c r="D21" s="972"/>
      <c r="E21" s="973"/>
      <c r="F21" s="2"/>
      <c r="G21" s="40">
        <f>G20+$G$8+"00:02"</f>
        <v>0.40277777777777762</v>
      </c>
      <c r="H21" s="41" t="str">
        <f>H11</f>
        <v>Equipe 6</v>
      </c>
      <c r="I21" s="41" t="str">
        <f>H13</f>
        <v>Equipe 8</v>
      </c>
      <c r="J21" s="958"/>
      <c r="K21" s="959"/>
      <c r="L21" s="110"/>
      <c r="M21" s="42">
        <f>M20+$S$8+"00:02"</f>
        <v>0.47222222222222182</v>
      </c>
      <c r="N21" s="43" t="str">
        <f>N11</f>
        <v>Equipe 6</v>
      </c>
      <c r="O21" s="43" t="str">
        <f>N13</f>
        <v>Equipe 4</v>
      </c>
      <c r="P21" s="964"/>
      <c r="Q21" s="965"/>
      <c r="R21" s="2"/>
      <c r="S21" s="44">
        <f>S20+$S$8+"00:02"</f>
        <v>0.48611111111111066</v>
      </c>
      <c r="T21" s="45" t="str">
        <f>T11</f>
        <v>Equipe 2</v>
      </c>
      <c r="U21" s="45" t="str">
        <f>T13</f>
        <v>Equipe 8</v>
      </c>
      <c r="V21" s="945"/>
      <c r="W21" s="946"/>
    </row>
    <row r="22" spans="1:23" ht="15.75" thickBot="1" x14ac:dyDescent="0.3">
      <c r="A22" s="19"/>
      <c r="B22" s="2"/>
      <c r="C22" s="2"/>
      <c r="D22" s="46"/>
      <c r="E22" s="46"/>
      <c r="F22" s="2"/>
      <c r="G22" s="2"/>
      <c r="H22" s="2"/>
      <c r="I22" s="47"/>
      <c r="J22" s="46"/>
      <c r="K22" s="48"/>
      <c r="L22" s="110"/>
      <c r="M22" s="19"/>
      <c r="N22" s="2"/>
      <c r="O22" s="2"/>
      <c r="P22" s="46"/>
      <c r="Q22" s="46"/>
      <c r="R22" s="2"/>
      <c r="S22" s="2"/>
      <c r="T22" s="2"/>
      <c r="U22" s="2"/>
      <c r="V22" s="46"/>
      <c r="W22" s="48"/>
    </row>
    <row r="23" spans="1:23" s="29" customFormat="1" x14ac:dyDescent="0.25">
      <c r="A23" s="24"/>
      <c r="B23" s="713" t="s">
        <v>7</v>
      </c>
      <c r="C23" s="713"/>
      <c r="D23" s="950"/>
      <c r="E23" s="951"/>
      <c r="F23" s="25"/>
      <c r="G23" s="26"/>
      <c r="H23" s="715" t="s">
        <v>7</v>
      </c>
      <c r="I23" s="715"/>
      <c r="J23" s="954"/>
      <c r="K23" s="955"/>
      <c r="L23" s="111"/>
      <c r="M23" s="27"/>
      <c r="N23" s="786" t="s">
        <v>12</v>
      </c>
      <c r="O23" s="786"/>
      <c r="P23" s="960"/>
      <c r="Q23" s="961"/>
      <c r="R23" s="25"/>
      <c r="S23" s="28"/>
      <c r="T23" s="784" t="s">
        <v>12</v>
      </c>
      <c r="U23" s="784"/>
      <c r="V23" s="941"/>
      <c r="W23" s="942"/>
    </row>
    <row r="24" spans="1:23" x14ac:dyDescent="0.25">
      <c r="A24" s="30">
        <f>G21+$G$8+"00:02"</f>
        <v>0.40972222222222204</v>
      </c>
      <c r="B24" s="31" t="str">
        <f>B10</f>
        <v>Equipe 1</v>
      </c>
      <c r="C24" s="31" t="str">
        <f>B13</f>
        <v>Equipe 4</v>
      </c>
      <c r="D24" s="952"/>
      <c r="E24" s="953"/>
      <c r="F24" s="2"/>
      <c r="G24" s="32">
        <f>A25+$G$8+"00:02"</f>
        <v>0.42361111111111088</v>
      </c>
      <c r="H24" s="33" t="str">
        <f>H10</f>
        <v>Equipe 5</v>
      </c>
      <c r="I24" s="33" t="str">
        <f>H13</f>
        <v>Equipe 8</v>
      </c>
      <c r="J24" s="956"/>
      <c r="K24" s="957"/>
      <c r="L24" s="110"/>
      <c r="M24" s="34">
        <f>S21+$S$8+"00:02"</f>
        <v>0.49305555555555508</v>
      </c>
      <c r="N24" s="35" t="str">
        <f>N10</f>
        <v>Equipe 1</v>
      </c>
      <c r="O24" s="35" t="str">
        <f>N13</f>
        <v>Equipe 4</v>
      </c>
      <c r="P24" s="962"/>
      <c r="Q24" s="963"/>
      <c r="R24" s="2"/>
      <c r="S24" s="36">
        <f>M25+$S$8+"00:02"</f>
        <v>0.50694444444444398</v>
      </c>
      <c r="T24" s="37" t="str">
        <f>T10</f>
        <v>Equipe 5</v>
      </c>
      <c r="U24" s="37" t="str">
        <f>T13</f>
        <v>Equipe 8</v>
      </c>
      <c r="V24" s="943"/>
      <c r="W24" s="944"/>
    </row>
    <row r="25" spans="1:23" ht="15.75" thickBot="1" x14ac:dyDescent="0.3">
      <c r="A25" s="129">
        <f>A24+$G$8+"00:02"</f>
        <v>0.41666666666666646</v>
      </c>
      <c r="B25" s="130" t="str">
        <f>B11</f>
        <v>Equipe 2</v>
      </c>
      <c r="C25" s="130" t="str">
        <f>B12</f>
        <v>Equipe 3</v>
      </c>
      <c r="D25" s="952"/>
      <c r="E25" s="953"/>
      <c r="F25" s="2"/>
      <c r="G25" s="131">
        <f>G24+$G$8+"00:02"</f>
        <v>0.4305555555555553</v>
      </c>
      <c r="H25" s="132" t="str">
        <f>H11</f>
        <v>Equipe 6</v>
      </c>
      <c r="I25" s="132" t="str">
        <f>H12</f>
        <v>Equipe 7</v>
      </c>
      <c r="J25" s="956"/>
      <c r="K25" s="957"/>
      <c r="L25" s="110"/>
      <c r="M25" s="133">
        <f>M24+$S$8+"00:02"</f>
        <v>0.4999999999999995</v>
      </c>
      <c r="N25" s="134" t="str">
        <f>N11</f>
        <v>Equipe 6</v>
      </c>
      <c r="O25" s="134" t="str">
        <f>N12</f>
        <v>Equipe 7</v>
      </c>
      <c r="P25" s="962"/>
      <c r="Q25" s="963"/>
      <c r="R25" s="2"/>
      <c r="S25" s="135">
        <f>S24+$S$8+"00:02"</f>
        <v>0.5138888888888884</v>
      </c>
      <c r="T25" s="136" t="str">
        <f>T11</f>
        <v>Equipe 2</v>
      </c>
      <c r="U25" s="136" t="str">
        <f>T12</f>
        <v>Equipe 3</v>
      </c>
      <c r="V25" s="943"/>
      <c r="W25" s="944"/>
    </row>
    <row r="26" spans="1:23" ht="24.6" customHeight="1" thickBot="1" x14ac:dyDescent="0.3">
      <c r="A26" s="947"/>
      <c r="B26" s="948"/>
      <c r="C26" s="948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8"/>
      <c r="U26" s="948"/>
      <c r="V26" s="948"/>
      <c r="W26" s="949"/>
    </row>
    <row r="27" spans="1:23" x14ac:dyDescent="0.25">
      <c r="U27" s="932" t="s">
        <v>116</v>
      </c>
      <c r="V27" s="932"/>
      <c r="W27" s="932"/>
    </row>
  </sheetData>
  <sheetProtection sheet="1" scenarios="1" selectLockedCells="1"/>
  <mergeCells count="62">
    <mergeCell ref="A1:T1"/>
    <mergeCell ref="U27:W27"/>
    <mergeCell ref="A8:C8"/>
    <mergeCell ref="D8:F8"/>
    <mergeCell ref="G8:H8"/>
    <mergeCell ref="M8:O8"/>
    <mergeCell ref="P8:R8"/>
    <mergeCell ref="H9:I9"/>
    <mergeCell ref="N9:O9"/>
    <mergeCell ref="S8:T8"/>
    <mergeCell ref="E5:G5"/>
    <mergeCell ref="L5:M5"/>
    <mergeCell ref="E6:G6"/>
    <mergeCell ref="L6:M6"/>
    <mergeCell ref="T15:U15"/>
    <mergeCell ref="B13:C13"/>
    <mergeCell ref="B10:C10"/>
    <mergeCell ref="H10:I10"/>
    <mergeCell ref="N10:O10"/>
    <mergeCell ref="B9:C9"/>
    <mergeCell ref="B19:C19"/>
    <mergeCell ref="H19:I19"/>
    <mergeCell ref="N19:O19"/>
    <mergeCell ref="D19:E21"/>
    <mergeCell ref="B15:C15"/>
    <mergeCell ref="B12:C12"/>
    <mergeCell ref="H12:I12"/>
    <mergeCell ref="B11:C11"/>
    <mergeCell ref="H11:I11"/>
    <mergeCell ref="N11:O11"/>
    <mergeCell ref="H13:I13"/>
    <mergeCell ref="N13:O13"/>
    <mergeCell ref="V9:W13"/>
    <mergeCell ref="D15:E17"/>
    <mergeCell ref="T11:U11"/>
    <mergeCell ref="T9:U9"/>
    <mergeCell ref="V15:W17"/>
    <mergeCell ref="N12:O12"/>
    <mergeCell ref="T12:U12"/>
    <mergeCell ref="T10:U10"/>
    <mergeCell ref="T13:U13"/>
    <mergeCell ref="H15:I15"/>
    <mergeCell ref="N15:O15"/>
    <mergeCell ref="D9:E13"/>
    <mergeCell ref="J9:K13"/>
    <mergeCell ref="P9:Q13"/>
    <mergeCell ref="U1:W7"/>
    <mergeCell ref="V19:W21"/>
    <mergeCell ref="V23:W25"/>
    <mergeCell ref="A26:W26"/>
    <mergeCell ref="D23:E25"/>
    <mergeCell ref="J15:K17"/>
    <mergeCell ref="J19:K21"/>
    <mergeCell ref="J23:K25"/>
    <mergeCell ref="P15:Q17"/>
    <mergeCell ref="P19:Q21"/>
    <mergeCell ref="P23:Q25"/>
    <mergeCell ref="T19:U19"/>
    <mergeCell ref="B23:C23"/>
    <mergeCell ref="H23:I23"/>
    <mergeCell ref="N23:O23"/>
    <mergeCell ref="T23:U23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7" orientation="landscape" horizontalDpi="300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4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24" width="11.5703125" style="1"/>
    <col min="25" max="33" width="11.5703125" style="1" customWidth="1"/>
    <col min="34" max="16384" width="11.5703125" style="1"/>
  </cols>
  <sheetData>
    <row r="1" spans="1:24" ht="24.95" customHeight="1" x14ac:dyDescent="0.25">
      <c r="A1" s="821" t="s">
        <v>186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3"/>
      <c r="U1" s="826"/>
      <c r="V1" s="827"/>
      <c r="W1" s="828"/>
    </row>
    <row r="2" spans="1:24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104"/>
      <c r="P2" s="218"/>
      <c r="Q2" s="218"/>
      <c r="R2" s="218"/>
      <c r="S2" s="218"/>
      <c r="T2" s="326"/>
      <c r="U2" s="829"/>
      <c r="V2" s="830"/>
      <c r="W2" s="831"/>
    </row>
    <row r="3" spans="1:24" ht="24.95" customHeight="1" thickBot="1" x14ac:dyDescent="0.3">
      <c r="A3" s="263" t="s">
        <v>187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218"/>
      <c r="Q3" s="218"/>
      <c r="R3" s="218"/>
      <c r="S3" s="218"/>
      <c r="T3" s="326"/>
      <c r="U3" s="829"/>
      <c r="V3" s="830"/>
      <c r="W3" s="831"/>
    </row>
    <row r="4" spans="1:24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311"/>
      <c r="I4" s="264" t="s">
        <v>167</v>
      </c>
      <c r="J4" s="264"/>
      <c r="K4" s="312"/>
      <c r="L4" s="742">
        <f>(4*G6)+(4*S6)</f>
        <v>4.4444444444444446E-2</v>
      </c>
      <c r="M4" s="742"/>
      <c r="N4" s="264" t="s">
        <v>33</v>
      </c>
      <c r="O4" s="264"/>
      <c r="P4" s="218"/>
      <c r="Q4" s="218"/>
      <c r="R4" s="218"/>
      <c r="S4" s="218"/>
      <c r="T4" s="326"/>
      <c r="U4" s="829"/>
      <c r="V4" s="830"/>
      <c r="W4" s="831"/>
      <c r="X4" s="71"/>
    </row>
    <row r="5" spans="1:24" ht="24.95" customHeight="1" thickBot="1" x14ac:dyDescent="0.3">
      <c r="A5" s="317" t="s">
        <v>32</v>
      </c>
      <c r="B5" s="215"/>
      <c r="C5" s="215"/>
      <c r="D5" s="215"/>
      <c r="E5" s="876">
        <f>S32-A15+S6</f>
        <v>0.3041666666666657</v>
      </c>
      <c r="F5" s="876"/>
      <c r="G5" s="876"/>
      <c r="H5" s="215"/>
      <c r="I5" s="216" t="s">
        <v>79</v>
      </c>
      <c r="J5" s="216"/>
      <c r="K5" s="216"/>
      <c r="L5" s="687">
        <v>2.7777777777777776E-2</v>
      </c>
      <c r="M5" s="688"/>
      <c r="N5" s="215"/>
      <c r="O5" s="215"/>
      <c r="P5" s="213"/>
      <c r="Q5" s="213"/>
      <c r="R5" s="213"/>
      <c r="S5" s="213"/>
      <c r="T5" s="327"/>
      <c r="U5" s="832"/>
      <c r="V5" s="833"/>
      <c r="W5" s="834"/>
    </row>
    <row r="6" spans="1:24" ht="16.5" thickBot="1" x14ac:dyDescent="0.3">
      <c r="A6" s="701" t="s">
        <v>85</v>
      </c>
      <c r="B6" s="685"/>
      <c r="C6" s="685"/>
      <c r="D6" s="686" t="s">
        <v>18</v>
      </c>
      <c r="E6" s="686"/>
      <c r="F6" s="686"/>
      <c r="G6" s="782">
        <v>5.5555555555555558E-3</v>
      </c>
      <c r="H6" s="782"/>
      <c r="I6" s="276" t="s">
        <v>17</v>
      </c>
      <c r="J6" s="276"/>
      <c r="K6" s="277"/>
      <c r="L6" s="109"/>
      <c r="M6" s="701" t="s">
        <v>86</v>
      </c>
      <c r="N6" s="685"/>
      <c r="O6" s="685"/>
      <c r="P6" s="868" t="s">
        <v>18</v>
      </c>
      <c r="Q6" s="868"/>
      <c r="R6" s="868"/>
      <c r="S6" s="782">
        <v>5.5555555555555558E-3</v>
      </c>
      <c r="T6" s="782"/>
      <c r="U6" s="276" t="s">
        <v>17</v>
      </c>
      <c r="V6" s="276"/>
      <c r="W6" s="277"/>
    </row>
    <row r="7" spans="1:24" x14ac:dyDescent="0.25">
      <c r="A7" s="6"/>
      <c r="B7" s="744" t="s">
        <v>41</v>
      </c>
      <c r="C7" s="745"/>
      <c r="D7" s="974"/>
      <c r="E7" s="975"/>
      <c r="F7" s="102"/>
      <c r="G7" s="7"/>
      <c r="H7" s="747" t="s">
        <v>42</v>
      </c>
      <c r="I7" s="748"/>
      <c r="J7" s="980"/>
      <c r="K7" s="981"/>
      <c r="L7" s="110"/>
      <c r="M7" s="8"/>
      <c r="N7" s="804" t="s">
        <v>41</v>
      </c>
      <c r="O7" s="805"/>
      <c r="P7" s="986"/>
      <c r="Q7" s="987"/>
      <c r="R7" s="102"/>
      <c r="S7" s="9"/>
      <c r="T7" s="807" t="s">
        <v>42</v>
      </c>
      <c r="U7" s="808"/>
      <c r="V7" s="966"/>
      <c r="W7" s="967"/>
    </row>
    <row r="8" spans="1:24" x14ac:dyDescent="0.25">
      <c r="A8" s="10">
        <v>1</v>
      </c>
      <c r="B8" s="731" t="s">
        <v>22</v>
      </c>
      <c r="C8" s="732"/>
      <c r="D8" s="976"/>
      <c r="E8" s="977"/>
      <c r="F8" s="103"/>
      <c r="G8" s="11">
        <v>1</v>
      </c>
      <c r="H8" s="727" t="s">
        <v>27</v>
      </c>
      <c r="I8" s="728"/>
      <c r="J8" s="982"/>
      <c r="K8" s="983"/>
      <c r="L8" s="110"/>
      <c r="M8" s="12">
        <v>1</v>
      </c>
      <c r="N8" s="844" t="str">
        <f>B8</f>
        <v>Equipe 1</v>
      </c>
      <c r="O8" s="845"/>
      <c r="P8" s="988"/>
      <c r="Q8" s="989"/>
      <c r="R8" s="103"/>
      <c r="S8" s="13">
        <v>1</v>
      </c>
      <c r="T8" s="835" t="str">
        <f>H8</f>
        <v>Equipe 6</v>
      </c>
      <c r="U8" s="836"/>
      <c r="V8" s="968"/>
      <c r="W8" s="969"/>
    </row>
    <row r="9" spans="1:24" x14ac:dyDescent="0.25">
      <c r="A9" s="10">
        <v>2</v>
      </c>
      <c r="B9" s="731" t="s">
        <v>23</v>
      </c>
      <c r="C9" s="732"/>
      <c r="D9" s="976"/>
      <c r="E9" s="977"/>
      <c r="F9" s="103"/>
      <c r="G9" s="11">
        <v>2</v>
      </c>
      <c r="H9" s="727" t="s">
        <v>28</v>
      </c>
      <c r="I9" s="728"/>
      <c r="J9" s="982"/>
      <c r="K9" s="983"/>
      <c r="L9" s="110"/>
      <c r="M9" s="12">
        <v>2</v>
      </c>
      <c r="N9" s="844" t="str">
        <f>H11</f>
        <v>Equipe 9</v>
      </c>
      <c r="O9" s="845"/>
      <c r="P9" s="988"/>
      <c r="Q9" s="989"/>
      <c r="R9" s="103"/>
      <c r="S9" s="13">
        <v>2</v>
      </c>
      <c r="T9" s="835" t="str">
        <f>B11</f>
        <v>Equipe 4</v>
      </c>
      <c r="U9" s="836"/>
      <c r="V9" s="968"/>
      <c r="W9" s="969"/>
    </row>
    <row r="10" spans="1:24" x14ac:dyDescent="0.25">
      <c r="A10" s="10">
        <v>3</v>
      </c>
      <c r="B10" s="731" t="s">
        <v>24</v>
      </c>
      <c r="C10" s="732"/>
      <c r="D10" s="976"/>
      <c r="E10" s="977"/>
      <c r="F10" s="103"/>
      <c r="G10" s="11">
        <v>3</v>
      </c>
      <c r="H10" s="727" t="s">
        <v>29</v>
      </c>
      <c r="I10" s="728"/>
      <c r="J10" s="982"/>
      <c r="K10" s="983"/>
      <c r="L10" s="110"/>
      <c r="M10" s="12">
        <v>3</v>
      </c>
      <c r="N10" s="844" t="str">
        <f>B10</f>
        <v>Equipe 3</v>
      </c>
      <c r="O10" s="845"/>
      <c r="P10" s="988"/>
      <c r="Q10" s="989"/>
      <c r="R10" s="103"/>
      <c r="S10" s="13">
        <v>3</v>
      </c>
      <c r="T10" s="835" t="str">
        <f>H10</f>
        <v>Equipe 8</v>
      </c>
      <c r="U10" s="836"/>
      <c r="V10" s="968"/>
      <c r="W10" s="969"/>
    </row>
    <row r="11" spans="1:24" x14ac:dyDescent="0.25">
      <c r="A11" s="306">
        <v>4</v>
      </c>
      <c r="B11" s="731" t="s">
        <v>25</v>
      </c>
      <c r="C11" s="884"/>
      <c r="D11" s="976"/>
      <c r="E11" s="977"/>
      <c r="F11" s="103"/>
      <c r="G11" s="307">
        <v>4</v>
      </c>
      <c r="H11" s="727" t="s">
        <v>37</v>
      </c>
      <c r="I11" s="885"/>
      <c r="J11" s="982"/>
      <c r="K11" s="983"/>
      <c r="L11" s="110"/>
      <c r="M11" s="308">
        <v>4</v>
      </c>
      <c r="N11" s="877" t="str">
        <f>H12</f>
        <v>Equipe 10</v>
      </c>
      <c r="O11" s="878"/>
      <c r="P11" s="988"/>
      <c r="Q11" s="989"/>
      <c r="R11" s="103"/>
      <c r="S11" s="309">
        <v>4</v>
      </c>
      <c r="T11" s="879" t="str">
        <f>B12</f>
        <v>Equipe 5</v>
      </c>
      <c r="U11" s="880"/>
      <c r="V11" s="968"/>
      <c r="W11" s="969"/>
    </row>
    <row r="12" spans="1:24" ht="15.75" thickBot="1" x14ac:dyDescent="0.3">
      <c r="A12" s="15">
        <v>5</v>
      </c>
      <c r="B12" s="717" t="s">
        <v>26</v>
      </c>
      <c r="C12" s="718"/>
      <c r="D12" s="978"/>
      <c r="E12" s="979"/>
      <c r="F12" s="103"/>
      <c r="G12" s="16">
        <v>5</v>
      </c>
      <c r="H12" s="721" t="s">
        <v>38</v>
      </c>
      <c r="I12" s="722"/>
      <c r="J12" s="984"/>
      <c r="K12" s="985"/>
      <c r="L12" s="110"/>
      <c r="M12" s="17">
        <v>5</v>
      </c>
      <c r="N12" s="846" t="str">
        <f>B9</f>
        <v>Equipe 2</v>
      </c>
      <c r="O12" s="889"/>
      <c r="P12" s="990"/>
      <c r="Q12" s="991"/>
      <c r="R12" s="103"/>
      <c r="S12" s="18">
        <v>5</v>
      </c>
      <c r="T12" s="837" t="str">
        <f>H9</f>
        <v>Equipe 7</v>
      </c>
      <c r="U12" s="887"/>
      <c r="V12" s="970"/>
      <c r="W12" s="971"/>
    </row>
    <row r="13" spans="1:24" ht="15.75" thickBot="1" x14ac:dyDescent="0.3">
      <c r="A13" s="19"/>
      <c r="B13" s="2"/>
      <c r="C13" s="2"/>
      <c r="D13" s="2"/>
      <c r="E13" s="2"/>
      <c r="F13" s="2"/>
      <c r="G13" s="2"/>
      <c r="H13" s="2"/>
      <c r="I13" s="20"/>
      <c r="J13" s="2"/>
      <c r="K13" s="21"/>
      <c r="L13" s="110"/>
      <c r="M13" s="19"/>
      <c r="N13" s="2"/>
      <c r="O13" s="2"/>
      <c r="P13" s="2"/>
      <c r="Q13" s="2"/>
      <c r="R13" s="2"/>
      <c r="S13" s="2"/>
      <c r="T13" s="2"/>
      <c r="U13" s="2"/>
      <c r="V13" s="22"/>
      <c r="W13" s="23"/>
    </row>
    <row r="14" spans="1:24" s="29" customFormat="1" x14ac:dyDescent="0.25">
      <c r="A14" s="24"/>
      <c r="B14" s="713" t="s">
        <v>5</v>
      </c>
      <c r="C14" s="713"/>
      <c r="D14" s="950"/>
      <c r="E14" s="951"/>
      <c r="F14" s="25"/>
      <c r="G14" s="26"/>
      <c r="H14" s="715" t="s">
        <v>5</v>
      </c>
      <c r="I14" s="715"/>
      <c r="J14" s="954"/>
      <c r="K14" s="955"/>
      <c r="L14" s="111"/>
      <c r="M14" s="27"/>
      <c r="N14" s="786" t="s">
        <v>12</v>
      </c>
      <c r="O14" s="786"/>
      <c r="P14" s="960"/>
      <c r="Q14" s="961"/>
      <c r="R14" s="25"/>
      <c r="S14" s="28"/>
      <c r="T14" s="784" t="s">
        <v>12</v>
      </c>
      <c r="U14" s="784"/>
      <c r="V14" s="941"/>
      <c r="W14" s="942"/>
    </row>
    <row r="15" spans="1:24" x14ac:dyDescent="0.25">
      <c r="A15" s="30">
        <f>E4</f>
        <v>0.375</v>
      </c>
      <c r="B15" s="31" t="str">
        <f>B8</f>
        <v>Equipe 1</v>
      </c>
      <c r="C15" s="31" t="str">
        <f>B9</f>
        <v>Equipe 2</v>
      </c>
      <c r="D15" s="952"/>
      <c r="E15" s="953"/>
      <c r="F15" s="2"/>
      <c r="G15" s="32">
        <f>A16+$G$6+"00:02"</f>
        <v>0.38888888888888884</v>
      </c>
      <c r="H15" s="33" t="str">
        <f>H8</f>
        <v>Equipe 6</v>
      </c>
      <c r="I15" s="33" t="str">
        <f>H9</f>
        <v>Equipe 7</v>
      </c>
      <c r="J15" s="956"/>
      <c r="K15" s="957"/>
      <c r="L15" s="110"/>
      <c r="M15" s="34">
        <f>G32+$G$6+"00:02"+L5</f>
        <v>0.54166666666666619</v>
      </c>
      <c r="N15" s="35" t="str">
        <f>N8</f>
        <v>Equipe 1</v>
      </c>
      <c r="O15" s="35" t="str">
        <f>N9</f>
        <v>Equipe 9</v>
      </c>
      <c r="P15" s="962"/>
      <c r="Q15" s="963"/>
      <c r="R15" s="2"/>
      <c r="S15" s="36">
        <f>M16+$S$6+"00:02"</f>
        <v>0.55555555555555503</v>
      </c>
      <c r="T15" s="37" t="str">
        <f>T8</f>
        <v>Equipe 6</v>
      </c>
      <c r="U15" s="37" t="str">
        <f>T9</f>
        <v>Equipe 4</v>
      </c>
      <c r="V15" s="943"/>
      <c r="W15" s="944"/>
    </row>
    <row r="16" spans="1:24" ht="15.75" thickBot="1" x14ac:dyDescent="0.3">
      <c r="A16" s="38">
        <f>A15+$G$6+"00:02"</f>
        <v>0.38194444444444442</v>
      </c>
      <c r="B16" s="39" t="str">
        <f>B10</f>
        <v>Equipe 3</v>
      </c>
      <c r="C16" s="39" t="str">
        <f>+B11</f>
        <v>Equipe 4</v>
      </c>
      <c r="D16" s="972"/>
      <c r="E16" s="973"/>
      <c r="F16" s="2"/>
      <c r="G16" s="40">
        <f>G15+$G$6+"00:02"</f>
        <v>0.39583333333333326</v>
      </c>
      <c r="H16" s="41" t="str">
        <f>H10</f>
        <v>Equipe 8</v>
      </c>
      <c r="I16" s="41" t="str">
        <f>+H11</f>
        <v>Equipe 9</v>
      </c>
      <c r="J16" s="958"/>
      <c r="K16" s="959"/>
      <c r="L16" s="110"/>
      <c r="M16" s="42">
        <f>M15+$S$6+"00:02"</f>
        <v>0.54861111111111061</v>
      </c>
      <c r="N16" s="43" t="str">
        <f>N10</f>
        <v>Equipe 3</v>
      </c>
      <c r="O16" s="43" t="str">
        <f>+N11</f>
        <v>Equipe 10</v>
      </c>
      <c r="P16" s="964"/>
      <c r="Q16" s="965"/>
      <c r="R16" s="2"/>
      <c r="S16" s="44">
        <f>S15+$S$6+"00:02"</f>
        <v>0.56249999999999944</v>
      </c>
      <c r="T16" s="45" t="str">
        <f>T10</f>
        <v>Equipe 8</v>
      </c>
      <c r="U16" s="45" t="str">
        <f>+T11</f>
        <v>Equipe 5</v>
      </c>
      <c r="V16" s="945"/>
      <c r="W16" s="946"/>
    </row>
    <row r="17" spans="1:23" ht="15.75" thickBot="1" x14ac:dyDescent="0.3">
      <c r="A17" s="19"/>
      <c r="B17" s="2"/>
      <c r="C17" s="2"/>
      <c r="D17" s="281"/>
      <c r="E17" s="281"/>
      <c r="F17" s="2"/>
      <c r="G17" s="2"/>
      <c r="H17" s="2"/>
      <c r="I17" s="47"/>
      <c r="J17" s="281"/>
      <c r="K17" s="280"/>
      <c r="L17" s="110"/>
      <c r="M17" s="19"/>
      <c r="N17" s="2"/>
      <c r="O17" s="2"/>
      <c r="P17" s="281"/>
      <c r="Q17" s="281"/>
      <c r="R17" s="2"/>
      <c r="S17" s="2"/>
      <c r="T17" s="2"/>
      <c r="U17" s="2"/>
      <c r="V17" s="281"/>
      <c r="W17" s="280"/>
    </row>
    <row r="18" spans="1:23" s="29" customFormat="1" x14ac:dyDescent="0.25">
      <c r="A18" s="24"/>
      <c r="B18" s="713" t="s">
        <v>6</v>
      </c>
      <c r="C18" s="713"/>
      <c r="D18" s="950"/>
      <c r="E18" s="951"/>
      <c r="F18" s="25"/>
      <c r="G18" s="26"/>
      <c r="H18" s="715" t="s">
        <v>6</v>
      </c>
      <c r="I18" s="715"/>
      <c r="J18" s="954"/>
      <c r="K18" s="955"/>
      <c r="L18" s="111"/>
      <c r="M18" s="27"/>
      <c r="N18" s="786" t="s">
        <v>165</v>
      </c>
      <c r="O18" s="786"/>
      <c r="P18" s="960"/>
      <c r="Q18" s="961"/>
      <c r="R18" s="25"/>
      <c r="S18" s="28"/>
      <c r="T18" s="784" t="s">
        <v>165</v>
      </c>
      <c r="U18" s="784"/>
      <c r="V18" s="941"/>
      <c r="W18" s="942"/>
    </row>
    <row r="19" spans="1:23" x14ac:dyDescent="0.25">
      <c r="A19" s="30">
        <f>G16+$G$6+"00:02"</f>
        <v>0.40277777777777768</v>
      </c>
      <c r="B19" s="31" t="str">
        <f>B8</f>
        <v>Equipe 1</v>
      </c>
      <c r="C19" s="31" t="str">
        <f>B12</f>
        <v>Equipe 5</v>
      </c>
      <c r="D19" s="952"/>
      <c r="E19" s="953"/>
      <c r="F19" s="2"/>
      <c r="G19" s="32">
        <f>A20+$G$6+"00:02"</f>
        <v>0.41666666666666652</v>
      </c>
      <c r="H19" s="33" t="str">
        <f>H8</f>
        <v>Equipe 6</v>
      </c>
      <c r="I19" s="33" t="str">
        <f>H12</f>
        <v>Equipe 10</v>
      </c>
      <c r="J19" s="956"/>
      <c r="K19" s="957"/>
      <c r="L19" s="110"/>
      <c r="M19" s="34">
        <f>S16+$S$6+"00:02"</f>
        <v>0.56944444444444386</v>
      </c>
      <c r="N19" s="35" t="str">
        <f>N8</f>
        <v>Equipe 1</v>
      </c>
      <c r="O19" s="35" t="str">
        <f>N12</f>
        <v>Equipe 2</v>
      </c>
      <c r="P19" s="962"/>
      <c r="Q19" s="963"/>
      <c r="R19" s="2"/>
      <c r="S19" s="36">
        <f>M20+$S$6+"00:02"</f>
        <v>0.5833333333333327</v>
      </c>
      <c r="T19" s="37" t="str">
        <f>T8</f>
        <v>Equipe 6</v>
      </c>
      <c r="U19" s="37" t="str">
        <f>T12</f>
        <v>Equipe 7</v>
      </c>
      <c r="V19" s="943"/>
      <c r="W19" s="944"/>
    </row>
    <row r="20" spans="1:23" ht="15.75" thickBot="1" x14ac:dyDescent="0.3">
      <c r="A20" s="38">
        <f>A19+$G$6+"00:02"</f>
        <v>0.4097222222222221</v>
      </c>
      <c r="B20" s="39" t="str">
        <f>B9</f>
        <v>Equipe 2</v>
      </c>
      <c r="C20" s="39" t="str">
        <f>B10</f>
        <v>Equipe 3</v>
      </c>
      <c r="D20" s="972"/>
      <c r="E20" s="973"/>
      <c r="F20" s="2"/>
      <c r="G20" s="40">
        <f>G19+$G$6+"00:02"</f>
        <v>0.42361111111111094</v>
      </c>
      <c r="H20" s="41" t="str">
        <f>H9</f>
        <v>Equipe 7</v>
      </c>
      <c r="I20" s="41" t="str">
        <f>H10</f>
        <v>Equipe 8</v>
      </c>
      <c r="J20" s="958"/>
      <c r="K20" s="959"/>
      <c r="L20" s="110"/>
      <c r="M20" s="42">
        <f>M19+$S$6+"00:02"</f>
        <v>0.57638888888888828</v>
      </c>
      <c r="N20" s="43" t="str">
        <f>N9</f>
        <v>Equipe 9</v>
      </c>
      <c r="O20" s="43" t="str">
        <f>N10</f>
        <v>Equipe 3</v>
      </c>
      <c r="P20" s="964"/>
      <c r="Q20" s="965"/>
      <c r="R20" s="2"/>
      <c r="S20" s="44">
        <f>S19+$S$6+"00:02"</f>
        <v>0.59027777777777712</v>
      </c>
      <c r="T20" s="45" t="str">
        <f>T9</f>
        <v>Equipe 4</v>
      </c>
      <c r="U20" s="45" t="str">
        <f>T10</f>
        <v>Equipe 8</v>
      </c>
      <c r="V20" s="945"/>
      <c r="W20" s="946"/>
    </row>
    <row r="21" spans="1:23" ht="15.75" thickBot="1" x14ac:dyDescent="0.3">
      <c r="A21" s="19"/>
      <c r="B21" s="2"/>
      <c r="C21" s="2"/>
      <c r="D21" s="281"/>
      <c r="E21" s="281"/>
      <c r="F21" s="2"/>
      <c r="G21" s="2"/>
      <c r="H21" s="2"/>
      <c r="I21" s="47"/>
      <c r="J21" s="281"/>
      <c r="K21" s="280"/>
      <c r="L21" s="110"/>
      <c r="M21" s="19"/>
      <c r="N21" s="2"/>
      <c r="O21" s="2"/>
      <c r="P21" s="281"/>
      <c r="Q21" s="281"/>
      <c r="R21" s="2"/>
      <c r="S21" s="2"/>
      <c r="T21" s="2"/>
      <c r="U21" s="2"/>
      <c r="V21" s="281"/>
      <c r="W21" s="280"/>
    </row>
    <row r="22" spans="1:23" s="29" customFormat="1" x14ac:dyDescent="0.25">
      <c r="A22" s="24"/>
      <c r="B22" s="713" t="s">
        <v>7</v>
      </c>
      <c r="C22" s="713"/>
      <c r="D22" s="950"/>
      <c r="E22" s="951"/>
      <c r="F22" s="25"/>
      <c r="G22" s="26"/>
      <c r="H22" s="715" t="s">
        <v>7</v>
      </c>
      <c r="I22" s="715"/>
      <c r="J22" s="954"/>
      <c r="K22" s="955"/>
      <c r="L22" s="111"/>
      <c r="M22" s="27"/>
      <c r="N22" s="786" t="s">
        <v>166</v>
      </c>
      <c r="O22" s="786"/>
      <c r="P22" s="960"/>
      <c r="Q22" s="961"/>
      <c r="R22" s="25"/>
      <c r="S22" s="28"/>
      <c r="T22" s="784" t="s">
        <v>166</v>
      </c>
      <c r="U22" s="784"/>
      <c r="V22" s="941"/>
      <c r="W22" s="942"/>
    </row>
    <row r="23" spans="1:23" x14ac:dyDescent="0.25">
      <c r="A23" s="30">
        <f>G20+$G$6+"00:02"</f>
        <v>0.43055555555555536</v>
      </c>
      <c r="B23" s="31" t="str">
        <f>B8</f>
        <v>Equipe 1</v>
      </c>
      <c r="C23" s="31" t="str">
        <f>B11</f>
        <v>Equipe 4</v>
      </c>
      <c r="D23" s="952"/>
      <c r="E23" s="953"/>
      <c r="F23" s="2"/>
      <c r="G23" s="32">
        <f>A24+$G$6+"00:02"</f>
        <v>0.4444444444444442</v>
      </c>
      <c r="H23" s="33" t="str">
        <f>H8</f>
        <v>Equipe 6</v>
      </c>
      <c r="I23" s="33" t="str">
        <f>H11</f>
        <v>Equipe 9</v>
      </c>
      <c r="J23" s="956"/>
      <c r="K23" s="957"/>
      <c r="L23" s="110"/>
      <c r="M23" s="34">
        <f>S20+$S$6+"00:02"</f>
        <v>0.59722222222222154</v>
      </c>
      <c r="N23" s="35" t="str">
        <f>N8</f>
        <v>Equipe 1</v>
      </c>
      <c r="O23" s="35" t="str">
        <f>N11</f>
        <v>Equipe 10</v>
      </c>
      <c r="P23" s="962"/>
      <c r="Q23" s="963"/>
      <c r="R23" s="2"/>
      <c r="S23" s="36">
        <f>M24+$S$6+"00:02"</f>
        <v>0.61111111111111038</v>
      </c>
      <c r="T23" s="37" t="str">
        <f>T8</f>
        <v>Equipe 6</v>
      </c>
      <c r="U23" s="37" t="str">
        <f>T11</f>
        <v>Equipe 5</v>
      </c>
      <c r="V23" s="943"/>
      <c r="W23" s="944"/>
    </row>
    <row r="24" spans="1:23" ht="15.75" thickBot="1" x14ac:dyDescent="0.3">
      <c r="A24" s="38">
        <f>A23+$G$6+"00:02"</f>
        <v>0.43749999999999978</v>
      </c>
      <c r="B24" s="39" t="str">
        <f>B9</f>
        <v>Equipe 2</v>
      </c>
      <c r="C24" s="39" t="str">
        <f>B12</f>
        <v>Equipe 5</v>
      </c>
      <c r="D24" s="972"/>
      <c r="E24" s="973"/>
      <c r="F24" s="2"/>
      <c r="G24" s="40">
        <f>G23+$G$6+"00:02"</f>
        <v>0.45138888888888862</v>
      </c>
      <c r="H24" s="41" t="str">
        <f>H9</f>
        <v>Equipe 7</v>
      </c>
      <c r="I24" s="41" t="str">
        <f>H12</f>
        <v>Equipe 10</v>
      </c>
      <c r="J24" s="958"/>
      <c r="K24" s="959"/>
      <c r="L24" s="110"/>
      <c r="M24" s="42">
        <f>M23+$S$6+"00:02"</f>
        <v>0.60416666666666596</v>
      </c>
      <c r="N24" s="43" t="str">
        <f>N9</f>
        <v>Equipe 9</v>
      </c>
      <c r="O24" s="43" t="str">
        <f>N12</f>
        <v>Equipe 2</v>
      </c>
      <c r="P24" s="964"/>
      <c r="Q24" s="965"/>
      <c r="R24" s="2"/>
      <c r="S24" s="44">
        <f>S23+$S$6+"00:02"</f>
        <v>0.6180555555555548</v>
      </c>
      <c r="T24" s="45" t="str">
        <f>T9</f>
        <v>Equipe 4</v>
      </c>
      <c r="U24" s="45" t="str">
        <f>T12</f>
        <v>Equipe 7</v>
      </c>
      <c r="V24" s="945"/>
      <c r="W24" s="946"/>
    </row>
    <row r="25" spans="1:23" ht="15.75" thickBot="1" x14ac:dyDescent="0.3">
      <c r="A25" s="163"/>
      <c r="B25" s="138"/>
      <c r="C25" s="138"/>
      <c r="D25" s="161"/>
      <c r="E25" s="161"/>
      <c r="F25" s="85"/>
      <c r="G25" s="137"/>
      <c r="H25" s="138"/>
      <c r="I25" s="138"/>
      <c r="J25" s="321"/>
      <c r="K25" s="321"/>
      <c r="L25" s="165"/>
      <c r="M25" s="137"/>
      <c r="N25" s="138"/>
      <c r="O25" s="138"/>
      <c r="P25" s="161"/>
      <c r="Q25" s="161"/>
      <c r="R25" s="85"/>
      <c r="S25" s="137"/>
      <c r="T25" s="138"/>
      <c r="U25" s="138"/>
      <c r="V25" s="161"/>
      <c r="W25" s="162"/>
    </row>
    <row r="26" spans="1:23" s="29" customFormat="1" x14ac:dyDescent="0.25">
      <c r="A26" s="24"/>
      <c r="B26" s="713" t="s">
        <v>10</v>
      </c>
      <c r="C26" s="713"/>
      <c r="D26" s="950"/>
      <c r="E26" s="951"/>
      <c r="F26" s="25"/>
      <c r="G26" s="26"/>
      <c r="H26" s="715" t="s">
        <v>10</v>
      </c>
      <c r="I26" s="883"/>
      <c r="J26" s="993"/>
      <c r="K26" s="994"/>
      <c r="L26" s="111"/>
      <c r="M26" s="27"/>
      <c r="N26" s="786" t="s">
        <v>228</v>
      </c>
      <c r="O26" s="786"/>
      <c r="P26" s="960"/>
      <c r="Q26" s="961"/>
      <c r="R26" s="25"/>
      <c r="S26" s="28"/>
      <c r="T26" s="784" t="s">
        <v>228</v>
      </c>
      <c r="U26" s="784"/>
      <c r="V26" s="941"/>
      <c r="W26" s="942"/>
    </row>
    <row r="27" spans="1:23" x14ac:dyDescent="0.25">
      <c r="A27" s="30">
        <f>G24+$G$6+"00:02"</f>
        <v>0.45833333333333304</v>
      </c>
      <c r="B27" s="31" t="str">
        <f>B8</f>
        <v>Equipe 1</v>
      </c>
      <c r="C27" s="31" t="str">
        <f>B10</f>
        <v>Equipe 3</v>
      </c>
      <c r="D27" s="952"/>
      <c r="E27" s="953"/>
      <c r="F27" s="2"/>
      <c r="G27" s="32">
        <f>A28+$G$6+"00:02"</f>
        <v>0.47222222222222188</v>
      </c>
      <c r="H27" s="33" t="str">
        <f>H8</f>
        <v>Equipe 6</v>
      </c>
      <c r="I27" s="314" t="str">
        <f>H10</f>
        <v>Equipe 8</v>
      </c>
      <c r="J27" s="995"/>
      <c r="K27" s="996"/>
      <c r="L27" s="110"/>
      <c r="M27" s="34">
        <f>S24+$S$6+"00:02"</f>
        <v>0.62499999999999922</v>
      </c>
      <c r="N27" s="35" t="str">
        <f>N8</f>
        <v>Equipe 1</v>
      </c>
      <c r="O27" s="35" t="str">
        <f>N10</f>
        <v>Equipe 3</v>
      </c>
      <c r="P27" s="962"/>
      <c r="Q27" s="963"/>
      <c r="R27" s="2"/>
      <c r="S27" s="36">
        <f>M28+$S$6+"00:02"</f>
        <v>0.63888888888888806</v>
      </c>
      <c r="T27" s="37" t="str">
        <f>T8</f>
        <v>Equipe 6</v>
      </c>
      <c r="U27" s="37" t="str">
        <f>T10</f>
        <v>Equipe 8</v>
      </c>
      <c r="V27" s="943"/>
      <c r="W27" s="944"/>
    </row>
    <row r="28" spans="1:23" ht="15.75" thickBot="1" x14ac:dyDescent="0.3">
      <c r="A28" s="38">
        <f>A27+$G$6+"00:02"</f>
        <v>0.46527777777777746</v>
      </c>
      <c r="B28" s="39" t="str">
        <f>B11</f>
        <v>Equipe 4</v>
      </c>
      <c r="C28" s="39" t="str">
        <f>B12</f>
        <v>Equipe 5</v>
      </c>
      <c r="D28" s="972"/>
      <c r="E28" s="973"/>
      <c r="F28" s="2"/>
      <c r="G28" s="40">
        <f>G27+$G$6+"00:02"</f>
        <v>0.4791666666666663</v>
      </c>
      <c r="H28" s="41" t="str">
        <f>H11</f>
        <v>Equipe 9</v>
      </c>
      <c r="I28" s="315" t="str">
        <f>H12</f>
        <v>Equipe 10</v>
      </c>
      <c r="J28" s="997"/>
      <c r="K28" s="998"/>
      <c r="L28" s="110"/>
      <c r="M28" s="42">
        <f>M27+$S$6+"00:02"</f>
        <v>0.63194444444444364</v>
      </c>
      <c r="N28" s="43" t="str">
        <f>N11</f>
        <v>Equipe 10</v>
      </c>
      <c r="O28" s="43" t="str">
        <f>N12</f>
        <v>Equipe 2</v>
      </c>
      <c r="P28" s="964"/>
      <c r="Q28" s="965"/>
      <c r="R28" s="2"/>
      <c r="S28" s="44">
        <f>S27+$S$6+"00:02"</f>
        <v>0.64583333333333248</v>
      </c>
      <c r="T28" s="45" t="str">
        <f>T11</f>
        <v>Equipe 5</v>
      </c>
      <c r="U28" s="45" t="str">
        <f>T12</f>
        <v>Equipe 7</v>
      </c>
      <c r="V28" s="945"/>
      <c r="W28" s="946"/>
    </row>
    <row r="29" spans="1:23" ht="15.75" thickBot="1" x14ac:dyDescent="0.3">
      <c r="A29" s="163"/>
      <c r="B29" s="138"/>
      <c r="C29" s="138"/>
      <c r="D29" s="161"/>
      <c r="E29" s="161"/>
      <c r="F29" s="85"/>
      <c r="G29" s="137"/>
      <c r="H29" s="138"/>
      <c r="I29" s="138"/>
      <c r="J29" s="161"/>
      <c r="K29" s="161"/>
      <c r="L29" s="165"/>
      <c r="M29" s="137"/>
      <c r="N29" s="138"/>
      <c r="O29" s="138"/>
      <c r="P29" s="161"/>
      <c r="Q29" s="161"/>
      <c r="R29" s="85"/>
      <c r="S29" s="137"/>
      <c r="T29" s="138"/>
      <c r="U29" s="138"/>
      <c r="V29" s="161"/>
      <c r="W29" s="162"/>
    </row>
    <row r="30" spans="1:23" s="29" customFormat="1" x14ac:dyDescent="0.25">
      <c r="A30" s="24"/>
      <c r="B30" s="713" t="s">
        <v>11</v>
      </c>
      <c r="C30" s="713"/>
      <c r="D30" s="950"/>
      <c r="E30" s="951"/>
      <c r="F30" s="25"/>
      <c r="G30" s="26"/>
      <c r="H30" s="715" t="s">
        <v>11</v>
      </c>
      <c r="I30" s="715"/>
      <c r="J30" s="954"/>
      <c r="K30" s="955"/>
      <c r="L30" s="111"/>
      <c r="M30" s="27"/>
      <c r="N30" s="786" t="s">
        <v>229</v>
      </c>
      <c r="O30" s="786"/>
      <c r="P30" s="960"/>
      <c r="Q30" s="961"/>
      <c r="R30" s="25"/>
      <c r="S30" s="28"/>
      <c r="T30" s="784" t="s">
        <v>229</v>
      </c>
      <c r="U30" s="784"/>
      <c r="V30" s="941"/>
      <c r="W30" s="942"/>
    </row>
    <row r="31" spans="1:23" x14ac:dyDescent="0.25">
      <c r="A31" s="30">
        <f>G28+$G$6+"00:02"</f>
        <v>0.48611111111111072</v>
      </c>
      <c r="B31" s="31" t="str">
        <f>B9</f>
        <v>Equipe 2</v>
      </c>
      <c r="C31" s="31" t="str">
        <f>B11</f>
        <v>Equipe 4</v>
      </c>
      <c r="D31" s="952"/>
      <c r="E31" s="953"/>
      <c r="F31" s="2"/>
      <c r="G31" s="32">
        <f>A32+$G$6+"00:02"</f>
        <v>0.49999999999999956</v>
      </c>
      <c r="H31" s="33" t="str">
        <f>H9</f>
        <v>Equipe 7</v>
      </c>
      <c r="I31" s="33" t="str">
        <f>H11</f>
        <v>Equipe 9</v>
      </c>
      <c r="J31" s="956"/>
      <c r="K31" s="957"/>
      <c r="L31" s="110"/>
      <c r="M31" s="34">
        <f>S28+$S$6+"00:02"</f>
        <v>0.6527777777777769</v>
      </c>
      <c r="N31" s="35" t="str">
        <f>N9</f>
        <v>Equipe 9</v>
      </c>
      <c r="O31" s="35" t="str">
        <f>N11</f>
        <v>Equipe 10</v>
      </c>
      <c r="P31" s="962"/>
      <c r="Q31" s="963"/>
      <c r="R31" s="2"/>
      <c r="S31" s="36">
        <f>M32+$S$6+"00:02"</f>
        <v>0.66666666666666574</v>
      </c>
      <c r="T31" s="37" t="str">
        <f>T9</f>
        <v>Equipe 4</v>
      </c>
      <c r="U31" s="37" t="str">
        <f>T11</f>
        <v>Equipe 5</v>
      </c>
      <c r="V31" s="943"/>
      <c r="W31" s="944"/>
    </row>
    <row r="32" spans="1:23" ht="15.75" thickBot="1" x14ac:dyDescent="0.3">
      <c r="A32" s="38">
        <f>A31+$G$6+"00:02"</f>
        <v>0.49305555555555514</v>
      </c>
      <c r="B32" s="39" t="str">
        <f>B10</f>
        <v>Equipe 3</v>
      </c>
      <c r="C32" s="39" t="str">
        <f>B12</f>
        <v>Equipe 5</v>
      </c>
      <c r="D32" s="972"/>
      <c r="E32" s="973"/>
      <c r="F32" s="47"/>
      <c r="G32" s="40">
        <f>G31+$G$6+"00:02"</f>
        <v>0.50694444444444398</v>
      </c>
      <c r="H32" s="41" t="str">
        <f>H10</f>
        <v>Equipe 8</v>
      </c>
      <c r="I32" s="41" t="str">
        <f>H12</f>
        <v>Equipe 10</v>
      </c>
      <c r="J32" s="958"/>
      <c r="K32" s="959"/>
      <c r="L32" s="110"/>
      <c r="M32" s="42">
        <f>M31+$S$6+"00:02"</f>
        <v>0.65972222222222132</v>
      </c>
      <c r="N32" s="43" t="str">
        <f>N10</f>
        <v>Equipe 3</v>
      </c>
      <c r="O32" s="43" t="str">
        <f>N12</f>
        <v>Equipe 2</v>
      </c>
      <c r="P32" s="964"/>
      <c r="Q32" s="965"/>
      <c r="R32" s="47"/>
      <c r="S32" s="44">
        <f>S31+$S$6+"00:02"</f>
        <v>0.67361111111111016</v>
      </c>
      <c r="T32" s="45" t="str">
        <f>T10</f>
        <v>Equipe 8</v>
      </c>
      <c r="U32" s="45" t="str">
        <f>T12</f>
        <v>Equipe 7</v>
      </c>
      <c r="V32" s="945"/>
      <c r="W32" s="946"/>
    </row>
    <row r="33" spans="1:23" ht="24.95" customHeight="1" thickBot="1" x14ac:dyDescent="0.3">
      <c r="A33" s="106"/>
      <c r="B33" s="20"/>
      <c r="C33" s="20"/>
      <c r="D33" s="20"/>
      <c r="E33" s="20"/>
      <c r="F33" s="20"/>
      <c r="G33" s="20"/>
      <c r="H33" s="20"/>
      <c r="I33" s="20"/>
      <c r="J33" s="20"/>
      <c r="K33" s="107"/>
      <c r="L33" s="322"/>
      <c r="M33" s="106"/>
      <c r="N33" s="20"/>
      <c r="O33" s="20"/>
      <c r="P33" s="20"/>
      <c r="Q33" s="20"/>
      <c r="R33" s="20"/>
      <c r="S33" s="20"/>
      <c r="T33" s="20"/>
      <c r="U33" s="20"/>
      <c r="V33" s="20"/>
      <c r="W33" s="107"/>
    </row>
    <row r="34" spans="1:23" x14ac:dyDescent="0.25">
      <c r="U34" s="932" t="s">
        <v>117</v>
      </c>
      <c r="V34" s="932"/>
      <c r="W34" s="932"/>
    </row>
  </sheetData>
  <sheetProtection sheet="1" scenarios="1" selectLockedCells="1"/>
  <mergeCells count="81">
    <mergeCell ref="U34:W34"/>
    <mergeCell ref="P6:R6"/>
    <mergeCell ref="S6:T6"/>
    <mergeCell ref="E4:G4"/>
    <mergeCell ref="L4:M4"/>
    <mergeCell ref="E5:G5"/>
    <mergeCell ref="L5:M5"/>
    <mergeCell ref="H7:I7"/>
    <mergeCell ref="N7:O7"/>
    <mergeCell ref="T14:U14"/>
    <mergeCell ref="P7:Q12"/>
    <mergeCell ref="H10:I10"/>
    <mergeCell ref="N10:O10"/>
    <mergeCell ref="P14:Q16"/>
    <mergeCell ref="U1:W5"/>
    <mergeCell ref="V30:W32"/>
    <mergeCell ref="D6:F6"/>
    <mergeCell ref="G6:H6"/>
    <mergeCell ref="M6:O6"/>
    <mergeCell ref="B14:C14"/>
    <mergeCell ref="H14:I14"/>
    <mergeCell ref="N14:O14"/>
    <mergeCell ref="B12:C12"/>
    <mergeCell ref="H12:I12"/>
    <mergeCell ref="N12:O12"/>
    <mergeCell ref="B11:C11"/>
    <mergeCell ref="H11:I11"/>
    <mergeCell ref="D7:E12"/>
    <mergeCell ref="J7:K12"/>
    <mergeCell ref="N11:O11"/>
    <mergeCell ref="B10:C10"/>
    <mergeCell ref="J14:K16"/>
    <mergeCell ref="B22:C22"/>
    <mergeCell ref="H22:I22"/>
    <mergeCell ref="N22:O22"/>
    <mergeCell ref="T22:U22"/>
    <mergeCell ref="B18:C18"/>
    <mergeCell ref="H18:I18"/>
    <mergeCell ref="N18:O18"/>
    <mergeCell ref="P22:Q24"/>
    <mergeCell ref="P18:Q20"/>
    <mergeCell ref="J22:K24"/>
    <mergeCell ref="J18:K20"/>
    <mergeCell ref="D22:E24"/>
    <mergeCell ref="D18:E20"/>
    <mergeCell ref="B30:C30"/>
    <mergeCell ref="H30:I30"/>
    <mergeCell ref="N30:O30"/>
    <mergeCell ref="T30:U30"/>
    <mergeCell ref="B26:C26"/>
    <mergeCell ref="H26:I26"/>
    <mergeCell ref="N26:O26"/>
    <mergeCell ref="P30:Q32"/>
    <mergeCell ref="P26:Q28"/>
    <mergeCell ref="D30:E32"/>
    <mergeCell ref="D26:E28"/>
    <mergeCell ref="D14:E16"/>
    <mergeCell ref="J26:K28"/>
    <mergeCell ref="J30:K32"/>
    <mergeCell ref="V26:W28"/>
    <mergeCell ref="V22:W24"/>
    <mergeCell ref="V18:W20"/>
    <mergeCell ref="V14:W16"/>
    <mergeCell ref="T26:U26"/>
    <mergeCell ref="T18:U18"/>
    <mergeCell ref="A1:T1"/>
    <mergeCell ref="T12:U12"/>
    <mergeCell ref="T11:U11"/>
    <mergeCell ref="V7:W12"/>
    <mergeCell ref="T9:U9"/>
    <mergeCell ref="T10:U10"/>
    <mergeCell ref="T7:U7"/>
    <mergeCell ref="T8:U8"/>
    <mergeCell ref="B7:C7"/>
    <mergeCell ref="B9:C9"/>
    <mergeCell ref="H9:I9"/>
    <mergeCell ref="N9:O9"/>
    <mergeCell ref="B8:C8"/>
    <mergeCell ref="H8:I8"/>
    <mergeCell ref="N8:O8"/>
    <mergeCell ref="A6:C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7" orientation="landscape" horizontalDpi="300" verticalDpi="300" r:id="rId1"/>
  <ignoredErrors>
    <ignoredError sqref="N9 T9" formula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43"/>
  <sheetViews>
    <sheetView showGridLines="0" workbookViewId="0">
      <selection sqref="A1:J1"/>
    </sheetView>
  </sheetViews>
  <sheetFormatPr baseColWidth="10" defaultColWidth="11.5703125" defaultRowHeight="15" x14ac:dyDescent="0.25"/>
  <cols>
    <col min="1" max="1" width="5.85546875" style="1" customWidth="1"/>
    <col min="2" max="3" width="20.85546875" style="1" customWidth="1"/>
    <col min="4" max="4" width="3.85546875" style="1" customWidth="1"/>
    <col min="5" max="5" width="5.85546875" style="1" customWidth="1"/>
    <col min="6" max="7" width="20.85546875" style="1" customWidth="1"/>
    <col min="8" max="8" width="3.85546875" style="1" customWidth="1"/>
    <col min="9" max="9" width="5.85546875" style="1" customWidth="1"/>
    <col min="10" max="11" width="20.85546875" style="1" customWidth="1"/>
    <col min="12" max="23" width="5.85546875" style="1" customWidth="1"/>
    <col min="24" max="16384" width="11.5703125" style="1"/>
  </cols>
  <sheetData>
    <row r="1" spans="1:16" ht="24.95" customHeight="1" x14ac:dyDescent="0.35">
      <c r="A1" s="734" t="s">
        <v>185</v>
      </c>
      <c r="B1" s="735"/>
      <c r="C1" s="735"/>
      <c r="D1" s="735"/>
      <c r="E1" s="735"/>
      <c r="F1" s="735"/>
      <c r="G1" s="735"/>
      <c r="H1" s="735"/>
      <c r="I1" s="735"/>
      <c r="J1" s="820"/>
      <c r="K1" s="1013"/>
    </row>
    <row r="2" spans="1:16" ht="24.95" customHeight="1" thickBot="1" x14ac:dyDescent="0.3">
      <c r="A2" s="262" t="s">
        <v>51</v>
      </c>
      <c r="B2" s="104"/>
      <c r="C2" s="104"/>
      <c r="D2" s="215" t="s">
        <v>184</v>
      </c>
      <c r="E2" s="104"/>
      <c r="F2" s="104"/>
      <c r="G2" s="104"/>
      <c r="H2" s="104"/>
      <c r="I2" s="104"/>
      <c r="J2" s="261"/>
      <c r="K2" s="1014"/>
      <c r="L2" s="104"/>
    </row>
    <row r="3" spans="1:16" ht="24.95" customHeight="1" thickBot="1" x14ac:dyDescent="0.3">
      <c r="A3" s="263" t="s">
        <v>52</v>
      </c>
      <c r="B3" s="2"/>
      <c r="C3" s="2"/>
      <c r="D3" s="738">
        <v>0.375</v>
      </c>
      <c r="E3" s="740"/>
      <c r="F3" s="2"/>
      <c r="G3" s="206"/>
      <c r="H3" s="104"/>
      <c r="I3" s="104"/>
      <c r="J3" s="261"/>
      <c r="K3" s="1014"/>
    </row>
    <row r="4" spans="1:16" ht="24.95" customHeight="1" thickBot="1" x14ac:dyDescent="0.3">
      <c r="A4" s="1017" t="s">
        <v>54</v>
      </c>
      <c r="B4" s="741"/>
      <c r="C4" s="741"/>
      <c r="D4" s="1016">
        <f>(3*G6)+(3*G25)</f>
        <v>4.1666666666666664E-2</v>
      </c>
      <c r="E4" s="1016"/>
      <c r="F4" s="264" t="s">
        <v>33</v>
      </c>
      <c r="G4" s="2"/>
      <c r="H4" s="2"/>
      <c r="I4" s="2"/>
      <c r="J4" s="21"/>
      <c r="K4" s="1014"/>
    </row>
    <row r="5" spans="1:16" ht="24.95" customHeight="1" thickBot="1" x14ac:dyDescent="0.3">
      <c r="A5" s="317" t="s">
        <v>32</v>
      </c>
      <c r="B5" s="215"/>
      <c r="C5" s="324">
        <f>I42-A14+G25+"00:02"</f>
        <v>0.31666666666666565</v>
      </c>
      <c r="D5" s="999" t="s">
        <v>79</v>
      </c>
      <c r="E5" s="999"/>
      <c r="F5" s="999"/>
      <c r="G5" s="999"/>
      <c r="H5" s="687">
        <v>1.6666666666666666E-2</v>
      </c>
      <c r="I5" s="688"/>
      <c r="J5" s="325"/>
      <c r="K5" s="1015"/>
    </row>
    <row r="6" spans="1:16" ht="16.5" thickBot="1" x14ac:dyDescent="0.3">
      <c r="A6" s="780" t="s">
        <v>82</v>
      </c>
      <c r="B6" s="686"/>
      <c r="C6" s="686"/>
      <c r="D6" s="79"/>
      <c r="E6" s="686" t="s">
        <v>18</v>
      </c>
      <c r="F6" s="686"/>
      <c r="G6" s="73">
        <v>6.9444444444444441E-3</v>
      </c>
      <c r="H6" s="72" t="s">
        <v>17</v>
      </c>
      <c r="I6" s="189"/>
      <c r="J6" s="72"/>
      <c r="K6" s="207"/>
      <c r="L6" s="208"/>
      <c r="M6" s="202"/>
      <c r="N6" s="139"/>
      <c r="O6" s="139"/>
      <c r="P6" s="2"/>
    </row>
    <row r="7" spans="1:16" x14ac:dyDescent="0.25">
      <c r="A7" s="125"/>
      <c r="B7" s="912" t="s">
        <v>41</v>
      </c>
      <c r="C7" s="914"/>
      <c r="D7" s="102"/>
      <c r="E7" s="124"/>
      <c r="F7" s="915" t="s">
        <v>42</v>
      </c>
      <c r="G7" s="917"/>
      <c r="H7" s="103"/>
      <c r="I7" s="97"/>
      <c r="J7" s="852" t="s">
        <v>43</v>
      </c>
      <c r="K7" s="853"/>
    </row>
    <row r="8" spans="1:16" x14ac:dyDescent="0.25">
      <c r="A8" s="10">
        <v>1</v>
      </c>
      <c r="B8" s="731" t="s">
        <v>22</v>
      </c>
      <c r="C8" s="1010"/>
      <c r="D8" s="103"/>
      <c r="E8" s="11">
        <v>1</v>
      </c>
      <c r="F8" s="727" t="s">
        <v>26</v>
      </c>
      <c r="G8" s="1011"/>
      <c r="H8" s="103"/>
      <c r="I8" s="12">
        <v>1</v>
      </c>
      <c r="J8" s="800" t="s">
        <v>37</v>
      </c>
      <c r="K8" s="1012"/>
    </row>
    <row r="9" spans="1:16" x14ac:dyDescent="0.25">
      <c r="A9" s="10">
        <v>2</v>
      </c>
      <c r="B9" s="731" t="s">
        <v>23</v>
      </c>
      <c r="C9" s="1010"/>
      <c r="D9" s="103"/>
      <c r="E9" s="11">
        <v>2</v>
      </c>
      <c r="F9" s="727" t="s">
        <v>27</v>
      </c>
      <c r="G9" s="1011"/>
      <c r="H9" s="103"/>
      <c r="I9" s="12">
        <v>2</v>
      </c>
      <c r="J9" s="800" t="s">
        <v>38</v>
      </c>
      <c r="K9" s="1012"/>
    </row>
    <row r="10" spans="1:16" x14ac:dyDescent="0.25">
      <c r="A10" s="10">
        <v>3</v>
      </c>
      <c r="B10" s="731" t="s">
        <v>24</v>
      </c>
      <c r="C10" s="1010"/>
      <c r="D10" s="103"/>
      <c r="E10" s="11">
        <v>3</v>
      </c>
      <c r="F10" s="727" t="s">
        <v>28</v>
      </c>
      <c r="G10" s="1011"/>
      <c r="H10" s="103"/>
      <c r="I10" s="12">
        <v>3</v>
      </c>
      <c r="J10" s="800" t="s">
        <v>39</v>
      </c>
      <c r="K10" s="1012"/>
    </row>
    <row r="11" spans="1:16" ht="15.75" thickBot="1" x14ac:dyDescent="0.3">
      <c r="A11" s="15">
        <v>4</v>
      </c>
      <c r="B11" s="717" t="s">
        <v>25</v>
      </c>
      <c r="C11" s="1007"/>
      <c r="D11" s="103"/>
      <c r="E11" s="16">
        <v>4</v>
      </c>
      <c r="F11" s="721" t="s">
        <v>29</v>
      </c>
      <c r="G11" s="1008"/>
      <c r="H11" s="103"/>
      <c r="I11" s="17">
        <v>4</v>
      </c>
      <c r="J11" s="792" t="s">
        <v>40</v>
      </c>
      <c r="K11" s="1009"/>
    </row>
    <row r="12" spans="1:16" ht="5.0999999999999996" customHeight="1" thickBot="1" x14ac:dyDescent="0.3">
      <c r="A12" s="19"/>
      <c r="B12" s="2"/>
      <c r="C12" s="2"/>
      <c r="D12" s="2"/>
      <c r="E12" s="2"/>
      <c r="F12" s="2"/>
      <c r="G12" s="22"/>
      <c r="H12" s="85"/>
      <c r="I12" s="2"/>
      <c r="J12" s="2"/>
      <c r="K12" s="2"/>
    </row>
    <row r="13" spans="1:16" s="29" customFormat="1" x14ac:dyDescent="0.25">
      <c r="A13" s="364"/>
      <c r="B13" s="1000" t="s">
        <v>5</v>
      </c>
      <c r="C13" s="714"/>
      <c r="D13" s="25"/>
      <c r="E13" s="26"/>
      <c r="F13" s="715" t="s">
        <v>5</v>
      </c>
      <c r="G13" s="715"/>
      <c r="H13" s="77"/>
      <c r="I13" s="27"/>
      <c r="J13" s="786" t="s">
        <v>5</v>
      </c>
      <c r="K13" s="786"/>
    </row>
    <row r="14" spans="1:16" x14ac:dyDescent="0.25">
      <c r="A14" s="365">
        <f>D3</f>
        <v>0.375</v>
      </c>
      <c r="B14" s="367" t="str">
        <f>B8</f>
        <v>Equipe 1</v>
      </c>
      <c r="C14" s="368" t="str">
        <f>B9</f>
        <v>Equipe 2</v>
      </c>
      <c r="D14" s="2"/>
      <c r="E14" s="32">
        <f>A15+$G$6+"00:02"</f>
        <v>0.39166666666666661</v>
      </c>
      <c r="F14" s="33" t="str">
        <f>F8</f>
        <v>Equipe 5</v>
      </c>
      <c r="G14" s="33" t="str">
        <f>F9</f>
        <v>Equipe 6</v>
      </c>
      <c r="H14" s="76"/>
      <c r="I14" s="34">
        <f>E15+$G$6+"00:02"</f>
        <v>0.40833333333333321</v>
      </c>
      <c r="J14" s="35" t="str">
        <f>J8</f>
        <v>Equipe 9</v>
      </c>
      <c r="K14" s="35" t="str">
        <f>J9</f>
        <v>Equipe 10</v>
      </c>
    </row>
    <row r="15" spans="1:16" ht="15.75" thickBot="1" x14ac:dyDescent="0.3">
      <c r="A15" s="366">
        <f>A14+$G$6+"00:02"</f>
        <v>0.3833333333333333</v>
      </c>
      <c r="B15" s="369" t="str">
        <f>B10</f>
        <v>Equipe 3</v>
      </c>
      <c r="C15" s="252" t="str">
        <f>B11</f>
        <v>Equipe 4</v>
      </c>
      <c r="D15" s="2"/>
      <c r="E15" s="40">
        <f>E14+$G$6+"00:02"</f>
        <v>0.39999999999999991</v>
      </c>
      <c r="F15" s="41" t="str">
        <f>F10</f>
        <v>Equipe 7</v>
      </c>
      <c r="G15" s="41" t="str">
        <f>F11</f>
        <v>Equipe 8</v>
      </c>
      <c r="H15" s="76"/>
      <c r="I15" s="42">
        <f>I14+G6+"00:02"</f>
        <v>0.41666666666666652</v>
      </c>
      <c r="J15" s="43" t="str">
        <f>J10</f>
        <v>Equipe 11</v>
      </c>
      <c r="K15" s="43" t="str">
        <f>J11</f>
        <v>Equipe 12</v>
      </c>
    </row>
    <row r="16" spans="1:16" ht="5.0999999999999996" customHeight="1" thickBot="1" x14ac:dyDescent="0.3">
      <c r="A16" s="19"/>
      <c r="B16" s="2"/>
      <c r="C16" s="2"/>
      <c r="D16" s="2"/>
      <c r="E16" s="2"/>
      <c r="F16" s="2"/>
      <c r="G16" s="47"/>
      <c r="H16" s="85"/>
      <c r="I16" s="2"/>
      <c r="J16" s="2"/>
      <c r="K16" s="2"/>
    </row>
    <row r="17" spans="1:11" s="29" customFormat="1" x14ac:dyDescent="0.25">
      <c r="A17" s="364"/>
      <c r="B17" s="1000" t="s">
        <v>6</v>
      </c>
      <c r="C17" s="714"/>
      <c r="D17" s="25"/>
      <c r="E17" s="26"/>
      <c r="F17" s="715" t="s">
        <v>6</v>
      </c>
      <c r="G17" s="715"/>
      <c r="H17" s="77"/>
      <c r="I17" s="27"/>
      <c r="J17" s="786" t="s">
        <v>6</v>
      </c>
      <c r="K17" s="786"/>
    </row>
    <row r="18" spans="1:11" x14ac:dyDescent="0.25">
      <c r="A18" s="365">
        <f>I15+$G$6+"00:02"</f>
        <v>0.42499999999999982</v>
      </c>
      <c r="B18" s="367" t="str">
        <f>B8</f>
        <v>Equipe 1</v>
      </c>
      <c r="C18" s="368" t="str">
        <f>B10</f>
        <v>Equipe 3</v>
      </c>
      <c r="D18" s="2"/>
      <c r="E18" s="32">
        <f>A19+$G$6+"00:02"</f>
        <v>0.44166666666666643</v>
      </c>
      <c r="F18" s="33" t="str">
        <f>F8</f>
        <v>Equipe 5</v>
      </c>
      <c r="G18" s="33" t="str">
        <f>F10</f>
        <v>Equipe 7</v>
      </c>
      <c r="H18" s="76"/>
      <c r="I18" s="34">
        <f>E19+$G$6+"00:02"</f>
        <v>0.45833333333333304</v>
      </c>
      <c r="J18" s="35" t="str">
        <f>J8</f>
        <v>Equipe 9</v>
      </c>
      <c r="K18" s="35" t="str">
        <f>J10</f>
        <v>Equipe 11</v>
      </c>
    </row>
    <row r="19" spans="1:11" ht="15.75" thickBot="1" x14ac:dyDescent="0.3">
      <c r="A19" s="366">
        <f>A18+$G$6+"00:02"</f>
        <v>0.43333333333333313</v>
      </c>
      <c r="B19" s="369" t="str">
        <f>B9</f>
        <v>Equipe 2</v>
      </c>
      <c r="C19" s="252" t="str">
        <f>B11</f>
        <v>Equipe 4</v>
      </c>
      <c r="D19" s="2"/>
      <c r="E19" s="40">
        <f>E18+$G$6+"00:02"</f>
        <v>0.44999999999999973</v>
      </c>
      <c r="F19" s="41" t="str">
        <f>F9</f>
        <v>Equipe 6</v>
      </c>
      <c r="G19" s="41" t="str">
        <f>F11</f>
        <v>Equipe 8</v>
      </c>
      <c r="H19" s="76"/>
      <c r="I19" s="42">
        <f>I18+$G$6+"00:02"</f>
        <v>0.46666666666666634</v>
      </c>
      <c r="J19" s="43" t="str">
        <f>J9</f>
        <v>Equipe 10</v>
      </c>
      <c r="K19" s="43" t="str">
        <f>J11</f>
        <v>Equipe 12</v>
      </c>
    </row>
    <row r="20" spans="1:11" ht="5.0999999999999996" customHeight="1" thickBot="1" x14ac:dyDescent="0.3">
      <c r="A20" s="19"/>
      <c r="B20" s="2"/>
      <c r="C20" s="2"/>
      <c r="D20" s="2"/>
      <c r="E20" s="2"/>
      <c r="F20" s="2"/>
      <c r="G20" s="47"/>
      <c r="H20" s="85"/>
      <c r="I20" s="2"/>
      <c r="J20" s="2"/>
      <c r="K20" s="2"/>
    </row>
    <row r="21" spans="1:11" s="29" customFormat="1" x14ac:dyDescent="0.25">
      <c r="A21" s="364"/>
      <c r="B21" s="1000" t="s">
        <v>7</v>
      </c>
      <c r="C21" s="714"/>
      <c r="D21" s="25"/>
      <c r="E21" s="26"/>
      <c r="F21" s="715" t="s">
        <v>7</v>
      </c>
      <c r="G21" s="715"/>
      <c r="H21" s="77"/>
      <c r="I21" s="27"/>
      <c r="J21" s="786" t="s">
        <v>7</v>
      </c>
      <c r="K21" s="786"/>
    </row>
    <row r="22" spans="1:11" x14ac:dyDescent="0.25">
      <c r="A22" s="365">
        <f>I19+$G$6+"00:02"</f>
        <v>0.47499999999999964</v>
      </c>
      <c r="B22" s="367" t="str">
        <f>B8</f>
        <v>Equipe 1</v>
      </c>
      <c r="C22" s="368" t="str">
        <f>B11</f>
        <v>Equipe 4</v>
      </c>
      <c r="D22" s="2"/>
      <c r="E22" s="32">
        <f>A23+$G$6+"00:02"</f>
        <v>0.49166666666666625</v>
      </c>
      <c r="F22" s="33" t="str">
        <f>F8</f>
        <v>Equipe 5</v>
      </c>
      <c r="G22" s="33" t="str">
        <f>F11</f>
        <v>Equipe 8</v>
      </c>
      <c r="H22" s="76"/>
      <c r="I22" s="34">
        <f>E23+G6+"00:02"</f>
        <v>0.50833333333333286</v>
      </c>
      <c r="J22" s="35" t="str">
        <f>J8</f>
        <v>Equipe 9</v>
      </c>
      <c r="K22" s="35" t="str">
        <f>J11</f>
        <v>Equipe 12</v>
      </c>
    </row>
    <row r="23" spans="1:11" ht="15.75" thickBot="1" x14ac:dyDescent="0.3">
      <c r="A23" s="366">
        <f>A22+$G$6+"00:02"</f>
        <v>0.48333333333333295</v>
      </c>
      <c r="B23" s="369" t="str">
        <f>B9</f>
        <v>Equipe 2</v>
      </c>
      <c r="C23" s="252" t="str">
        <f>B10</f>
        <v>Equipe 3</v>
      </c>
      <c r="D23" s="47"/>
      <c r="E23" s="40">
        <f>E22+$G$6+"00:02"</f>
        <v>0.49999999999999956</v>
      </c>
      <c r="F23" s="41" t="str">
        <f>F9</f>
        <v>Equipe 6</v>
      </c>
      <c r="G23" s="41" t="str">
        <f>F10</f>
        <v>Equipe 7</v>
      </c>
      <c r="H23" s="78"/>
      <c r="I23" s="42">
        <f>I22+G6+"00:02"</f>
        <v>0.51666666666666616</v>
      </c>
      <c r="J23" s="43" t="str">
        <f>J9</f>
        <v>Equipe 10</v>
      </c>
      <c r="K23" s="43" t="str">
        <f>J10</f>
        <v>Equipe 11</v>
      </c>
    </row>
    <row r="24" spans="1:11" ht="15.75" thickBot="1" x14ac:dyDescent="0.3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</row>
    <row r="25" spans="1:11" ht="16.5" thickBot="1" x14ac:dyDescent="0.3">
      <c r="A25" s="780" t="s">
        <v>83</v>
      </c>
      <c r="B25" s="686"/>
      <c r="C25" s="686"/>
      <c r="D25" s="79"/>
      <c r="E25" s="686" t="s">
        <v>18</v>
      </c>
      <c r="F25" s="686"/>
      <c r="G25" s="73">
        <v>6.9444444444444441E-3</v>
      </c>
      <c r="H25" s="72" t="s">
        <v>17</v>
      </c>
      <c r="I25" s="189"/>
      <c r="J25" s="72"/>
      <c r="K25" s="207"/>
    </row>
    <row r="26" spans="1:11" x14ac:dyDescent="0.25">
      <c r="A26" s="125"/>
      <c r="B26" s="912" t="s">
        <v>41</v>
      </c>
      <c r="C26" s="914"/>
      <c r="D26" s="102"/>
      <c r="E26" s="124"/>
      <c r="F26" s="915" t="s">
        <v>42</v>
      </c>
      <c r="G26" s="917"/>
      <c r="H26" s="103"/>
      <c r="I26" s="97"/>
      <c r="J26" s="852" t="s">
        <v>43</v>
      </c>
      <c r="K26" s="853"/>
    </row>
    <row r="27" spans="1:11" x14ac:dyDescent="0.25">
      <c r="A27" s="10">
        <v>1</v>
      </c>
      <c r="B27" s="905" t="str">
        <f>B8</f>
        <v>Equipe 1</v>
      </c>
      <c r="C27" s="1005"/>
      <c r="D27" s="103"/>
      <c r="E27" s="11">
        <v>1</v>
      </c>
      <c r="F27" s="907" t="s">
        <v>26</v>
      </c>
      <c r="G27" s="1001"/>
      <c r="H27" s="103"/>
      <c r="I27" s="12">
        <v>1</v>
      </c>
      <c r="J27" s="844" t="s">
        <v>37</v>
      </c>
      <c r="K27" s="1006"/>
    </row>
    <row r="28" spans="1:11" x14ac:dyDescent="0.25">
      <c r="A28" s="10">
        <v>2</v>
      </c>
      <c r="B28" s="905" t="str">
        <f>F9</f>
        <v>Equipe 6</v>
      </c>
      <c r="C28" s="1005"/>
      <c r="D28" s="103"/>
      <c r="E28" s="11">
        <v>2</v>
      </c>
      <c r="F28" s="907" t="str">
        <f>J9</f>
        <v>Equipe 10</v>
      </c>
      <c r="G28" s="1001"/>
      <c r="H28" s="103"/>
      <c r="I28" s="12">
        <v>2</v>
      </c>
      <c r="J28" s="844" t="str">
        <f>F10</f>
        <v>Equipe 7</v>
      </c>
      <c r="K28" s="1006"/>
    </row>
    <row r="29" spans="1:11" x14ac:dyDescent="0.25">
      <c r="A29" s="10">
        <v>3</v>
      </c>
      <c r="B29" s="905" t="str">
        <f>J10</f>
        <v>Equipe 11</v>
      </c>
      <c r="C29" s="1005"/>
      <c r="D29" s="103"/>
      <c r="E29" s="11">
        <v>3</v>
      </c>
      <c r="F29" s="907" t="str">
        <f>B10</f>
        <v>Equipe 3</v>
      </c>
      <c r="G29" s="1001"/>
      <c r="H29" s="103"/>
      <c r="I29" s="12">
        <v>3</v>
      </c>
      <c r="J29" s="844" t="str">
        <f>B9</f>
        <v>Equipe 2</v>
      </c>
      <c r="K29" s="1006"/>
    </row>
    <row r="30" spans="1:11" ht="15.75" thickBot="1" x14ac:dyDescent="0.3">
      <c r="A30" s="15">
        <v>4</v>
      </c>
      <c r="B30" s="901" t="str">
        <f>B11</f>
        <v>Equipe 4</v>
      </c>
      <c r="C30" s="1002"/>
      <c r="D30" s="103"/>
      <c r="E30" s="16">
        <v>4</v>
      </c>
      <c r="F30" s="903" t="s">
        <v>29</v>
      </c>
      <c r="G30" s="1003"/>
      <c r="H30" s="103"/>
      <c r="I30" s="17">
        <v>4</v>
      </c>
      <c r="J30" s="846" t="s">
        <v>40</v>
      </c>
      <c r="K30" s="1004"/>
    </row>
    <row r="31" spans="1:11" ht="5.0999999999999996" customHeight="1" thickBot="1" x14ac:dyDescent="0.3">
      <c r="A31" s="19"/>
      <c r="B31" s="2"/>
      <c r="C31" s="2"/>
      <c r="D31" s="2"/>
      <c r="E31" s="2"/>
      <c r="F31" s="2"/>
      <c r="G31" s="22"/>
      <c r="H31" s="85"/>
      <c r="I31" s="2"/>
      <c r="J31" s="2"/>
      <c r="K31" s="21"/>
    </row>
    <row r="32" spans="1:11" x14ac:dyDescent="0.25">
      <c r="A32" s="24"/>
      <c r="B32" s="713" t="s">
        <v>10</v>
      </c>
      <c r="C32" s="714"/>
      <c r="D32" s="25"/>
      <c r="E32" s="26"/>
      <c r="F32" s="715" t="s">
        <v>10</v>
      </c>
      <c r="G32" s="715"/>
      <c r="H32" s="77"/>
      <c r="I32" s="27"/>
      <c r="J32" s="786" t="s">
        <v>10</v>
      </c>
      <c r="K32" s="787"/>
    </row>
    <row r="33" spans="1:11" x14ac:dyDescent="0.25">
      <c r="A33" s="30">
        <f>I23+G6+"00:02"+H5</f>
        <v>0.54166666666666619</v>
      </c>
      <c r="B33" s="31" t="str">
        <f>B27</f>
        <v>Equipe 1</v>
      </c>
      <c r="C33" s="368" t="str">
        <f>B28</f>
        <v>Equipe 6</v>
      </c>
      <c r="D33" s="2"/>
      <c r="E33" s="32">
        <f>A34+$G$6+"00:02"</f>
        <v>0.55833333333333279</v>
      </c>
      <c r="F33" s="33" t="str">
        <f>F27</f>
        <v>Equipe 5</v>
      </c>
      <c r="G33" s="33" t="str">
        <f>F28</f>
        <v>Equipe 10</v>
      </c>
      <c r="H33" s="76"/>
      <c r="I33" s="34">
        <f>E34+$G$6+"00:02"</f>
        <v>0.5749999999999994</v>
      </c>
      <c r="J33" s="35" t="str">
        <f>J27</f>
        <v>Equipe 9</v>
      </c>
      <c r="K33" s="203" t="str">
        <f>J28</f>
        <v>Equipe 7</v>
      </c>
    </row>
    <row r="34" spans="1:11" ht="15.75" thickBot="1" x14ac:dyDescent="0.3">
      <c r="A34" s="38">
        <f>A33+$G$6+"00:02"</f>
        <v>0.54999999999999949</v>
      </c>
      <c r="B34" s="39" t="str">
        <f>B29</f>
        <v>Equipe 11</v>
      </c>
      <c r="C34" s="252" t="str">
        <f>B30</f>
        <v>Equipe 4</v>
      </c>
      <c r="D34" s="2"/>
      <c r="E34" s="40">
        <f>E33+$G$6+"00:02"</f>
        <v>0.5666666666666661</v>
      </c>
      <c r="F34" s="41" t="str">
        <f>F29</f>
        <v>Equipe 3</v>
      </c>
      <c r="G34" s="41" t="str">
        <f>F30</f>
        <v>Equipe 8</v>
      </c>
      <c r="H34" s="76"/>
      <c r="I34" s="42">
        <f>I33+G25+"00:02"</f>
        <v>0.5833333333333327</v>
      </c>
      <c r="J34" s="43" t="str">
        <f>J29</f>
        <v>Equipe 2</v>
      </c>
      <c r="K34" s="204" t="str">
        <f>J30</f>
        <v>Equipe 12</v>
      </c>
    </row>
    <row r="35" spans="1:11" ht="5.0999999999999996" customHeight="1" thickBot="1" x14ac:dyDescent="0.3">
      <c r="A35" s="19"/>
      <c r="B35" s="2"/>
      <c r="C35" s="2"/>
      <c r="D35" s="2"/>
      <c r="E35" s="2"/>
      <c r="F35" s="2"/>
      <c r="G35" s="47"/>
      <c r="H35" s="85"/>
      <c r="I35" s="2"/>
      <c r="J35" s="2"/>
      <c r="K35" s="21"/>
    </row>
    <row r="36" spans="1:11" x14ac:dyDescent="0.25">
      <c r="A36" s="24"/>
      <c r="B36" s="713" t="s">
        <v>11</v>
      </c>
      <c r="C36" s="714"/>
      <c r="D36" s="25"/>
      <c r="E36" s="26"/>
      <c r="F36" s="715" t="s">
        <v>11</v>
      </c>
      <c r="G36" s="715"/>
      <c r="H36" s="77"/>
      <c r="I36" s="27"/>
      <c r="J36" s="786" t="s">
        <v>11</v>
      </c>
      <c r="K36" s="787"/>
    </row>
    <row r="37" spans="1:11" x14ac:dyDescent="0.25">
      <c r="A37" s="30">
        <f>I34+$G$6+"00:02"</f>
        <v>0.59166666666666601</v>
      </c>
      <c r="B37" s="31" t="str">
        <f>B27</f>
        <v>Equipe 1</v>
      </c>
      <c r="C37" s="368" t="str">
        <f>B29</f>
        <v>Equipe 11</v>
      </c>
      <c r="D37" s="2"/>
      <c r="E37" s="32">
        <f>A38+$G$6+"00:02"</f>
        <v>0.60833333333333262</v>
      </c>
      <c r="F37" s="33" t="str">
        <f>F27</f>
        <v>Equipe 5</v>
      </c>
      <c r="G37" s="33" t="str">
        <f>F29</f>
        <v>Equipe 3</v>
      </c>
      <c r="H37" s="76"/>
      <c r="I37" s="34">
        <f>E38+$G$6+"00:02"</f>
        <v>0.62499999999999922</v>
      </c>
      <c r="J37" s="35" t="str">
        <f>J27</f>
        <v>Equipe 9</v>
      </c>
      <c r="K37" s="203" t="str">
        <f>J29</f>
        <v>Equipe 2</v>
      </c>
    </row>
    <row r="38" spans="1:11" ht="15.75" thickBot="1" x14ac:dyDescent="0.3">
      <c r="A38" s="38">
        <f>A37+$G$6+"00:02"</f>
        <v>0.59999999999999931</v>
      </c>
      <c r="B38" s="39" t="str">
        <f>B28</f>
        <v>Equipe 6</v>
      </c>
      <c r="C38" s="252" t="str">
        <f>B30</f>
        <v>Equipe 4</v>
      </c>
      <c r="D38" s="2"/>
      <c r="E38" s="40">
        <f>E37+$G$6+"00:02"</f>
        <v>0.61666666666666592</v>
      </c>
      <c r="F38" s="41" t="str">
        <f>F28</f>
        <v>Equipe 10</v>
      </c>
      <c r="G38" s="41" t="str">
        <f>F30</f>
        <v>Equipe 8</v>
      </c>
      <c r="H38" s="76"/>
      <c r="I38" s="42">
        <f>I37+$G$6+"00:02"</f>
        <v>0.63333333333333253</v>
      </c>
      <c r="J38" s="43" t="str">
        <f>J28</f>
        <v>Equipe 7</v>
      </c>
      <c r="K38" s="204" t="str">
        <f>J30</f>
        <v>Equipe 12</v>
      </c>
    </row>
    <row r="39" spans="1:11" ht="5.0999999999999996" customHeight="1" thickBot="1" x14ac:dyDescent="0.3">
      <c r="A39" s="19"/>
      <c r="B39" s="2"/>
      <c r="C39" s="2"/>
      <c r="D39" s="2"/>
      <c r="E39" s="2"/>
      <c r="F39" s="2"/>
      <c r="G39" s="47"/>
      <c r="H39" s="85"/>
      <c r="I39" s="2"/>
      <c r="J39" s="2"/>
      <c r="K39" s="21"/>
    </row>
    <row r="40" spans="1:11" x14ac:dyDescent="0.25">
      <c r="A40" s="24"/>
      <c r="B40" s="713" t="s">
        <v>12</v>
      </c>
      <c r="C40" s="714"/>
      <c r="D40" s="25"/>
      <c r="E40" s="26"/>
      <c r="F40" s="715" t="s">
        <v>12</v>
      </c>
      <c r="G40" s="715"/>
      <c r="H40" s="77"/>
      <c r="I40" s="27"/>
      <c r="J40" s="786" t="s">
        <v>12</v>
      </c>
      <c r="K40" s="787"/>
    </row>
    <row r="41" spans="1:11" x14ac:dyDescent="0.25">
      <c r="A41" s="30">
        <f>I38+$G$6+"00:02"</f>
        <v>0.64166666666666583</v>
      </c>
      <c r="B41" s="31" t="str">
        <f>B27</f>
        <v>Equipe 1</v>
      </c>
      <c r="C41" s="368" t="str">
        <f>B30</f>
        <v>Equipe 4</v>
      </c>
      <c r="D41" s="2"/>
      <c r="E41" s="32">
        <f>A42+$G$6+"00:02"</f>
        <v>0.65833333333333244</v>
      </c>
      <c r="F41" s="33" t="str">
        <f>F27</f>
        <v>Equipe 5</v>
      </c>
      <c r="G41" s="33" t="str">
        <f>F30</f>
        <v>Equipe 8</v>
      </c>
      <c r="H41" s="76"/>
      <c r="I41" s="34">
        <f>E42+G25+"00:02"</f>
        <v>0.67499999999999905</v>
      </c>
      <c r="J41" s="35" t="str">
        <f>J27</f>
        <v>Equipe 9</v>
      </c>
      <c r="K41" s="203" t="str">
        <f>J30</f>
        <v>Equipe 12</v>
      </c>
    </row>
    <row r="42" spans="1:11" ht="15.75" thickBot="1" x14ac:dyDescent="0.3">
      <c r="A42" s="38">
        <f>A41+$G$6+"00:02"</f>
        <v>0.64999999999999913</v>
      </c>
      <c r="B42" s="39" t="str">
        <f>B28</f>
        <v>Equipe 6</v>
      </c>
      <c r="C42" s="252" t="str">
        <f>B29</f>
        <v>Equipe 11</v>
      </c>
      <c r="D42" s="47"/>
      <c r="E42" s="40">
        <f>E41+$G$6+"00:02"</f>
        <v>0.66666666666666574</v>
      </c>
      <c r="F42" s="41" t="str">
        <f>F28</f>
        <v>Equipe 10</v>
      </c>
      <c r="G42" s="41" t="str">
        <f>F29</f>
        <v>Equipe 3</v>
      </c>
      <c r="H42" s="224"/>
      <c r="I42" s="42">
        <f>I41+G25+"00:02"</f>
        <v>0.68333333333333235</v>
      </c>
      <c r="J42" s="43" t="str">
        <f>J28</f>
        <v>Equipe 7</v>
      </c>
      <c r="K42" s="204" t="str">
        <f>J29</f>
        <v>Equipe 2</v>
      </c>
    </row>
    <row r="43" spans="1:11" x14ac:dyDescent="0.25">
      <c r="A43" s="932" t="s">
        <v>118</v>
      </c>
      <c r="B43" s="932"/>
      <c r="C43" s="932"/>
      <c r="D43" s="932"/>
      <c r="E43" s="932"/>
      <c r="F43" s="932"/>
      <c r="G43" s="932"/>
      <c r="H43" s="932"/>
      <c r="I43" s="932"/>
      <c r="J43" s="932"/>
      <c r="K43" s="932"/>
    </row>
  </sheetData>
  <sheetProtection sheet="1" scenarios="1" selectLockedCells="1"/>
  <mergeCells count="60">
    <mergeCell ref="K1:K5"/>
    <mergeCell ref="B7:C7"/>
    <mergeCell ref="F7:G7"/>
    <mergeCell ref="J7:K7"/>
    <mergeCell ref="B9:C9"/>
    <mergeCell ref="F9:G9"/>
    <mergeCell ref="J9:K9"/>
    <mergeCell ref="B8:C8"/>
    <mergeCell ref="F8:G8"/>
    <mergeCell ref="J8:K8"/>
    <mergeCell ref="A1:J1"/>
    <mergeCell ref="E6:F6"/>
    <mergeCell ref="H5:I5"/>
    <mergeCell ref="D3:E3"/>
    <mergeCell ref="D4:E4"/>
    <mergeCell ref="A4:C4"/>
    <mergeCell ref="B11:C11"/>
    <mergeCell ref="F11:G11"/>
    <mergeCell ref="J11:K11"/>
    <mergeCell ref="B10:C10"/>
    <mergeCell ref="F10:G10"/>
    <mergeCell ref="J10:K10"/>
    <mergeCell ref="B28:C28"/>
    <mergeCell ref="J28:K28"/>
    <mergeCell ref="F28:G28"/>
    <mergeCell ref="B27:C27"/>
    <mergeCell ref="J27:K27"/>
    <mergeCell ref="F27:G27"/>
    <mergeCell ref="A43:K43"/>
    <mergeCell ref="F29:G29"/>
    <mergeCell ref="B30:C30"/>
    <mergeCell ref="F30:G30"/>
    <mergeCell ref="J30:K30"/>
    <mergeCell ref="B32:C32"/>
    <mergeCell ref="F32:G32"/>
    <mergeCell ref="J32:K32"/>
    <mergeCell ref="B40:C40"/>
    <mergeCell ref="J40:K40"/>
    <mergeCell ref="B29:C29"/>
    <mergeCell ref="J29:K29"/>
    <mergeCell ref="B36:C36"/>
    <mergeCell ref="F36:G36"/>
    <mergeCell ref="J36:K36"/>
    <mergeCell ref="F40:G40"/>
    <mergeCell ref="D5:G5"/>
    <mergeCell ref="A6:C6"/>
    <mergeCell ref="J26:K26"/>
    <mergeCell ref="B21:C21"/>
    <mergeCell ref="F21:G21"/>
    <mergeCell ref="J21:K21"/>
    <mergeCell ref="A25:C25"/>
    <mergeCell ref="E25:F25"/>
    <mergeCell ref="F26:G26"/>
    <mergeCell ref="B26:C26"/>
    <mergeCell ref="B17:C17"/>
    <mergeCell ref="F17:G17"/>
    <mergeCell ref="J17:K17"/>
    <mergeCell ref="B13:C13"/>
    <mergeCell ref="F13:G13"/>
    <mergeCell ref="J13:K13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91" orientation="landscape" horizontalDpi="300" verticalDpi="300" r:id="rId1"/>
  <ignoredErrors>
    <ignoredError sqref="B27:C30 F28:G29 J28:K29" unlocked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26"/>
  <sheetViews>
    <sheetView showGridLines="0" zoomScaleNormal="10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182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690"/>
      <c r="V1" s="691"/>
      <c r="W1" s="692"/>
    </row>
    <row r="2" spans="1:23" ht="24.95" customHeight="1" x14ac:dyDescent="0.25">
      <c r="A2" s="262" t="s">
        <v>189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693"/>
      <c r="V2" s="694"/>
      <c r="W2" s="695"/>
    </row>
    <row r="3" spans="1:23" ht="24.95" customHeight="1" thickBot="1" x14ac:dyDescent="0.3">
      <c r="A3" s="736" t="s">
        <v>183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693"/>
      <c r="V3" s="694"/>
      <c r="W3" s="695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0.39583333333333331</v>
      </c>
      <c r="F4" s="739"/>
      <c r="G4" s="740"/>
      <c r="H4" s="279"/>
      <c r="I4" s="741" t="s">
        <v>54</v>
      </c>
      <c r="J4" s="741"/>
      <c r="K4" s="741"/>
      <c r="L4" s="742">
        <f>(3*F6)+(3*R6)</f>
        <v>4.1666666666666664E-2</v>
      </c>
      <c r="M4" s="742"/>
      <c r="N4" s="264" t="s">
        <v>33</v>
      </c>
      <c r="O4" s="319"/>
      <c r="P4" s="200"/>
      <c r="Q4" s="200"/>
      <c r="R4" s="200"/>
      <c r="S4" s="200"/>
      <c r="T4" s="201"/>
      <c r="U4" s="693"/>
      <c r="V4" s="694"/>
      <c r="W4" s="695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S24-A15+R6+"00:02"</f>
        <v>0.10694444444444409</v>
      </c>
      <c r="F5" s="810"/>
      <c r="G5" s="810"/>
      <c r="H5" s="215"/>
      <c r="I5" s="216" t="s">
        <v>79</v>
      </c>
      <c r="J5" s="216"/>
      <c r="K5" s="216"/>
      <c r="L5" s="687">
        <v>6.9444444444444441E-3</v>
      </c>
      <c r="M5" s="688"/>
      <c r="N5" s="215"/>
      <c r="O5" s="47"/>
      <c r="P5" s="47"/>
      <c r="Q5" s="47"/>
      <c r="R5" s="47"/>
      <c r="S5" s="47"/>
      <c r="T5" s="320"/>
      <c r="U5" s="696"/>
      <c r="V5" s="697"/>
      <c r="W5" s="698"/>
    </row>
    <row r="6" spans="1:23" ht="15" customHeight="1" thickBot="1" x14ac:dyDescent="0.3">
      <c r="A6" s="780" t="s">
        <v>84</v>
      </c>
      <c r="B6" s="686"/>
      <c r="C6" s="685" t="s">
        <v>18</v>
      </c>
      <c r="D6" s="685"/>
      <c r="E6" s="685"/>
      <c r="F6" s="782">
        <v>6.9444444444444441E-3</v>
      </c>
      <c r="G6" s="782"/>
      <c r="H6" s="225" t="s">
        <v>17</v>
      </c>
      <c r="I6" s="189"/>
      <c r="J6" s="20"/>
      <c r="K6" s="20"/>
      <c r="L6" s="240"/>
      <c r="M6" s="780" t="s">
        <v>120</v>
      </c>
      <c r="N6" s="686"/>
      <c r="O6" s="685" t="s">
        <v>18</v>
      </c>
      <c r="P6" s="685"/>
      <c r="Q6" s="685"/>
      <c r="R6" s="782">
        <v>6.9444444444444441E-3</v>
      </c>
      <c r="S6" s="782"/>
      <c r="T6" s="225" t="s">
        <v>17</v>
      </c>
      <c r="U6" s="189"/>
      <c r="V6" s="20"/>
      <c r="W6" s="107"/>
    </row>
    <row r="7" spans="1:23" ht="15" customHeight="1" thickBot="1" x14ac:dyDescent="0.3">
      <c r="A7" s="780" t="s">
        <v>87</v>
      </c>
      <c r="B7" s="686"/>
      <c r="C7" s="686"/>
      <c r="D7" s="686"/>
      <c r="E7" s="686"/>
      <c r="F7" s="225"/>
      <c r="G7" s="686" t="s">
        <v>88</v>
      </c>
      <c r="H7" s="686"/>
      <c r="I7" s="686"/>
      <c r="J7" s="686"/>
      <c r="K7" s="686"/>
      <c r="L7" s="241"/>
      <c r="M7" s="686" t="s">
        <v>87</v>
      </c>
      <c r="N7" s="686"/>
      <c r="O7" s="686"/>
      <c r="P7" s="686"/>
      <c r="Q7" s="686"/>
      <c r="R7" s="225"/>
      <c r="S7" s="686" t="s">
        <v>88</v>
      </c>
      <c r="T7" s="686"/>
      <c r="U7" s="686"/>
      <c r="V7" s="686"/>
      <c r="W7" s="781"/>
    </row>
    <row r="8" spans="1:23" ht="15" customHeight="1" x14ac:dyDescent="0.25">
      <c r="A8" s="6"/>
      <c r="B8" s="744" t="s">
        <v>41</v>
      </c>
      <c r="C8" s="745"/>
      <c r="D8" s="745"/>
      <c r="E8" s="746"/>
      <c r="F8" s="102"/>
      <c r="G8" s="7"/>
      <c r="H8" s="747" t="s">
        <v>42</v>
      </c>
      <c r="I8" s="748"/>
      <c r="J8" s="982"/>
      <c r="K8" s="1021"/>
      <c r="L8" s="242"/>
      <c r="M8" s="234"/>
      <c r="N8" s="744" t="s">
        <v>41</v>
      </c>
      <c r="O8" s="745"/>
      <c r="P8" s="976"/>
      <c r="Q8" s="977"/>
      <c r="R8" s="102"/>
      <c r="S8" s="7"/>
      <c r="T8" s="747" t="s">
        <v>42</v>
      </c>
      <c r="U8" s="748"/>
      <c r="V8" s="209"/>
      <c r="W8" s="210"/>
    </row>
    <row r="9" spans="1:23" ht="15" customHeight="1" x14ac:dyDescent="0.25">
      <c r="A9" s="10">
        <v>1</v>
      </c>
      <c r="B9" s="731" t="s">
        <v>22</v>
      </c>
      <c r="C9" s="732"/>
      <c r="D9" s="1023"/>
      <c r="E9" s="1024"/>
      <c r="F9" s="103"/>
      <c r="G9" s="11">
        <v>1</v>
      </c>
      <c r="H9" s="727" t="s">
        <v>26</v>
      </c>
      <c r="I9" s="728"/>
      <c r="J9" s="982"/>
      <c r="K9" s="1021"/>
      <c r="L9" s="242"/>
      <c r="M9" s="235">
        <v>1</v>
      </c>
      <c r="N9" s="905" t="str">
        <f>B9</f>
        <v>Equipe 1</v>
      </c>
      <c r="O9" s="933"/>
      <c r="P9" s="976"/>
      <c r="Q9" s="977"/>
      <c r="R9" s="103"/>
      <c r="S9" s="11">
        <v>1</v>
      </c>
      <c r="T9" s="907" t="str">
        <f>B11</f>
        <v>Equipe 3</v>
      </c>
      <c r="U9" s="934"/>
      <c r="V9" s="209"/>
      <c r="W9" s="210"/>
    </row>
    <row r="10" spans="1:23" ht="15" customHeight="1" x14ac:dyDescent="0.25">
      <c r="A10" s="10">
        <v>2</v>
      </c>
      <c r="B10" s="731" t="s">
        <v>23</v>
      </c>
      <c r="C10" s="732"/>
      <c r="D10" s="1025"/>
      <c r="E10" s="1026"/>
      <c r="F10" s="103"/>
      <c r="G10" s="11">
        <v>2</v>
      </c>
      <c r="H10" s="727" t="s">
        <v>27</v>
      </c>
      <c r="I10" s="728"/>
      <c r="J10" s="982"/>
      <c r="K10" s="1021"/>
      <c r="L10" s="242"/>
      <c r="M10" s="235">
        <v>2</v>
      </c>
      <c r="N10" s="905" t="str">
        <f>B10</f>
        <v>Equipe 2</v>
      </c>
      <c r="O10" s="933"/>
      <c r="P10" s="976"/>
      <c r="Q10" s="977"/>
      <c r="R10" s="103"/>
      <c r="S10" s="11">
        <v>2</v>
      </c>
      <c r="T10" s="907" t="str">
        <f>B12</f>
        <v>Equipe 4</v>
      </c>
      <c r="U10" s="934"/>
      <c r="V10" s="209"/>
      <c r="W10" s="210"/>
    </row>
    <row r="11" spans="1:23" ht="15" customHeight="1" x14ac:dyDescent="0.25">
      <c r="A11" s="10">
        <v>3</v>
      </c>
      <c r="B11" s="731" t="s">
        <v>24</v>
      </c>
      <c r="C11" s="732"/>
      <c r="D11" s="1025"/>
      <c r="E11" s="1026"/>
      <c r="F11" s="103"/>
      <c r="G11" s="11">
        <v>3</v>
      </c>
      <c r="H11" s="727" t="s">
        <v>28</v>
      </c>
      <c r="I11" s="728"/>
      <c r="J11" s="982"/>
      <c r="K11" s="1021"/>
      <c r="L11" s="242"/>
      <c r="M11" s="235">
        <v>3</v>
      </c>
      <c r="N11" s="905" t="str">
        <f>H11</f>
        <v>Equipe 7</v>
      </c>
      <c r="O11" s="933"/>
      <c r="P11" s="976"/>
      <c r="Q11" s="977"/>
      <c r="R11" s="103"/>
      <c r="S11" s="11">
        <v>3</v>
      </c>
      <c r="T11" s="907" t="str">
        <f>H9</f>
        <v>Equipe 5</v>
      </c>
      <c r="U11" s="934"/>
      <c r="V11" s="209"/>
      <c r="W11" s="210"/>
    </row>
    <row r="12" spans="1:23" ht="15" customHeight="1" thickBot="1" x14ac:dyDescent="0.3">
      <c r="A12" s="15">
        <v>4</v>
      </c>
      <c r="B12" s="717" t="s">
        <v>25</v>
      </c>
      <c r="C12" s="718"/>
      <c r="D12" s="1027"/>
      <c r="E12" s="1028"/>
      <c r="F12" s="103"/>
      <c r="G12" s="16">
        <v>4</v>
      </c>
      <c r="H12" s="721" t="s">
        <v>29</v>
      </c>
      <c r="I12" s="722"/>
      <c r="J12" s="984"/>
      <c r="K12" s="1022"/>
      <c r="L12" s="242"/>
      <c r="M12" s="236">
        <v>4</v>
      </c>
      <c r="N12" s="901" t="str">
        <f>H12</f>
        <v>Equipe 8</v>
      </c>
      <c r="O12" s="939"/>
      <c r="P12" s="978"/>
      <c r="Q12" s="979"/>
      <c r="R12" s="103"/>
      <c r="S12" s="16">
        <v>4</v>
      </c>
      <c r="T12" s="903" t="str">
        <f>H10</f>
        <v>Equipe 6</v>
      </c>
      <c r="U12" s="940"/>
      <c r="V12" s="211"/>
      <c r="W12" s="212"/>
    </row>
    <row r="13" spans="1:23" ht="15" customHeight="1" thickBot="1" x14ac:dyDescent="0.3">
      <c r="A13" s="19"/>
      <c r="B13" s="2"/>
      <c r="C13" s="2"/>
      <c r="D13" s="2"/>
      <c r="E13" s="2"/>
      <c r="F13" s="2"/>
      <c r="G13" s="2"/>
      <c r="H13" s="2"/>
      <c r="I13" s="22"/>
      <c r="J13" s="2"/>
      <c r="K13" s="2"/>
      <c r="L13" s="242"/>
      <c r="M13" s="2"/>
      <c r="N13" s="2"/>
      <c r="O13" s="2"/>
      <c r="P13" s="2"/>
      <c r="Q13" s="2"/>
      <c r="R13" s="2"/>
      <c r="S13" s="2"/>
      <c r="T13" s="2"/>
      <c r="U13" s="22"/>
      <c r="V13" s="2"/>
      <c r="W13" s="21"/>
    </row>
    <row r="14" spans="1:23" s="29" customFormat="1" ht="15" customHeight="1" x14ac:dyDescent="0.25">
      <c r="A14" s="24"/>
      <c r="B14" s="713" t="s">
        <v>5</v>
      </c>
      <c r="C14" s="713"/>
      <c r="D14" s="950"/>
      <c r="E14" s="951"/>
      <c r="F14" s="25"/>
      <c r="G14" s="26"/>
      <c r="H14" s="715" t="s">
        <v>5</v>
      </c>
      <c r="I14" s="715"/>
      <c r="J14" s="954"/>
      <c r="K14" s="1018"/>
      <c r="L14" s="243"/>
      <c r="M14" s="237"/>
      <c r="N14" s="713" t="s">
        <v>10</v>
      </c>
      <c r="O14" s="713"/>
      <c r="P14" s="950"/>
      <c r="Q14" s="951"/>
      <c r="R14" s="25"/>
      <c r="S14" s="26"/>
      <c r="T14" s="715" t="s">
        <v>10</v>
      </c>
      <c r="U14" s="715"/>
      <c r="V14" s="954"/>
      <c r="W14" s="955"/>
    </row>
    <row r="15" spans="1:23" ht="15" customHeight="1" x14ac:dyDescent="0.25">
      <c r="A15" s="30">
        <f>E4</f>
        <v>0.39583333333333331</v>
      </c>
      <c r="B15" s="31" t="str">
        <f>B9</f>
        <v>Equipe 1</v>
      </c>
      <c r="C15" s="31" t="str">
        <f>B10</f>
        <v>Equipe 2</v>
      </c>
      <c r="D15" s="952"/>
      <c r="E15" s="953"/>
      <c r="F15" s="2"/>
      <c r="G15" s="32">
        <f>A15</f>
        <v>0.39583333333333331</v>
      </c>
      <c r="H15" s="33" t="str">
        <f>H9</f>
        <v>Equipe 5</v>
      </c>
      <c r="I15" s="33" t="str">
        <f>H10</f>
        <v>Equipe 6</v>
      </c>
      <c r="J15" s="956"/>
      <c r="K15" s="1019"/>
      <c r="L15" s="242"/>
      <c r="M15" s="238">
        <f>G24+R6+"00:02"+L5</f>
        <v>0.45277777777777756</v>
      </c>
      <c r="N15" s="31" t="str">
        <f>N9</f>
        <v>Equipe 1</v>
      </c>
      <c r="O15" s="31" t="str">
        <f>N10</f>
        <v>Equipe 2</v>
      </c>
      <c r="P15" s="952"/>
      <c r="Q15" s="953"/>
      <c r="R15" s="2"/>
      <c r="S15" s="32">
        <f>M15</f>
        <v>0.45277777777777756</v>
      </c>
      <c r="T15" s="33" t="str">
        <f>T9</f>
        <v>Equipe 3</v>
      </c>
      <c r="U15" s="33" t="str">
        <f>T10</f>
        <v>Equipe 4</v>
      </c>
      <c r="V15" s="956"/>
      <c r="W15" s="957"/>
    </row>
    <row r="16" spans="1:23" ht="15" customHeight="1" thickBot="1" x14ac:dyDescent="0.3">
      <c r="A16" s="38">
        <f>A15+$F$6+"00:02"</f>
        <v>0.40416666666666662</v>
      </c>
      <c r="B16" s="39" t="str">
        <f>B11</f>
        <v>Equipe 3</v>
      </c>
      <c r="C16" s="39" t="str">
        <f>B12</f>
        <v>Equipe 4</v>
      </c>
      <c r="D16" s="972"/>
      <c r="E16" s="973"/>
      <c r="F16" s="2"/>
      <c r="G16" s="40">
        <f>G15+$F$6+"00:02"</f>
        <v>0.40416666666666662</v>
      </c>
      <c r="H16" s="41" t="str">
        <f>H11</f>
        <v>Equipe 7</v>
      </c>
      <c r="I16" s="41" t="str">
        <f>H12</f>
        <v>Equipe 8</v>
      </c>
      <c r="J16" s="958"/>
      <c r="K16" s="1020"/>
      <c r="L16" s="242"/>
      <c r="M16" s="239">
        <f>M15+R6+"00:02"</f>
        <v>0.46111111111111086</v>
      </c>
      <c r="N16" s="39" t="str">
        <f>N11</f>
        <v>Equipe 7</v>
      </c>
      <c r="O16" s="39" t="str">
        <f>N12</f>
        <v>Equipe 8</v>
      </c>
      <c r="P16" s="972"/>
      <c r="Q16" s="973"/>
      <c r="R16" s="2"/>
      <c r="S16" s="40">
        <f>S15+R6+"00:02"</f>
        <v>0.46111111111111086</v>
      </c>
      <c r="T16" s="41" t="str">
        <f>T11</f>
        <v>Equipe 5</v>
      </c>
      <c r="U16" s="41" t="str">
        <f>T12</f>
        <v>Equipe 6</v>
      </c>
      <c r="V16" s="958"/>
      <c r="W16" s="959"/>
    </row>
    <row r="17" spans="1:23" ht="15" customHeight="1" thickBot="1" x14ac:dyDescent="0.3">
      <c r="A17" s="19"/>
      <c r="B17" s="2"/>
      <c r="C17" s="2"/>
      <c r="D17" s="226"/>
      <c r="E17" s="226"/>
      <c r="F17" s="2"/>
      <c r="G17" s="2"/>
      <c r="H17" s="2"/>
      <c r="I17" s="47"/>
      <c r="J17" s="226"/>
      <c r="K17" s="226"/>
      <c r="L17" s="242"/>
      <c r="M17" s="2"/>
      <c r="N17" s="2"/>
      <c r="O17" s="2"/>
      <c r="P17" s="226"/>
      <c r="Q17" s="226"/>
      <c r="R17" s="2"/>
      <c r="S17" s="2"/>
      <c r="T17" s="2"/>
      <c r="U17" s="47"/>
      <c r="V17" s="226"/>
      <c r="W17" s="227"/>
    </row>
    <row r="18" spans="1:23" s="29" customFormat="1" ht="15" customHeight="1" x14ac:dyDescent="0.25">
      <c r="A18" s="24"/>
      <c r="B18" s="713" t="s">
        <v>6</v>
      </c>
      <c r="C18" s="713"/>
      <c r="D18" s="950"/>
      <c r="E18" s="951"/>
      <c r="F18" s="25"/>
      <c r="G18" s="26"/>
      <c r="H18" s="715" t="s">
        <v>6</v>
      </c>
      <c r="I18" s="715"/>
      <c r="J18" s="954"/>
      <c r="K18" s="1018"/>
      <c r="L18" s="243"/>
      <c r="M18" s="237"/>
      <c r="N18" s="713" t="s">
        <v>11</v>
      </c>
      <c r="O18" s="713"/>
      <c r="P18" s="950"/>
      <c r="Q18" s="951"/>
      <c r="R18" s="25"/>
      <c r="S18" s="26"/>
      <c r="T18" s="715" t="s">
        <v>11</v>
      </c>
      <c r="U18" s="715"/>
      <c r="V18" s="954"/>
      <c r="W18" s="955"/>
    </row>
    <row r="19" spans="1:23" ht="15" customHeight="1" x14ac:dyDescent="0.25">
      <c r="A19" s="30">
        <f>A16+$F$6+"00:02"</f>
        <v>0.41249999999999992</v>
      </c>
      <c r="B19" s="31" t="str">
        <f>B9</f>
        <v>Equipe 1</v>
      </c>
      <c r="C19" s="31" t="str">
        <f>B11</f>
        <v>Equipe 3</v>
      </c>
      <c r="D19" s="952"/>
      <c r="E19" s="953"/>
      <c r="F19" s="2"/>
      <c r="G19" s="32">
        <f>G16+$F$6+"00:02"</f>
        <v>0.41249999999999992</v>
      </c>
      <c r="H19" s="33" t="str">
        <f>H9</f>
        <v>Equipe 5</v>
      </c>
      <c r="I19" s="33" t="str">
        <f>H11</f>
        <v>Equipe 7</v>
      </c>
      <c r="J19" s="956"/>
      <c r="K19" s="1019"/>
      <c r="L19" s="242"/>
      <c r="M19" s="238">
        <f>M16+R6+"00:02"</f>
        <v>0.46944444444444416</v>
      </c>
      <c r="N19" s="31" t="str">
        <f>N9</f>
        <v>Equipe 1</v>
      </c>
      <c r="O19" s="31" t="str">
        <f>N11</f>
        <v>Equipe 7</v>
      </c>
      <c r="P19" s="952"/>
      <c r="Q19" s="953"/>
      <c r="R19" s="2"/>
      <c r="S19" s="32">
        <f>S16+R6+"00:02"</f>
        <v>0.46944444444444416</v>
      </c>
      <c r="T19" s="33" t="str">
        <f>T9</f>
        <v>Equipe 3</v>
      </c>
      <c r="U19" s="33" t="str">
        <f>T11</f>
        <v>Equipe 5</v>
      </c>
      <c r="V19" s="956"/>
      <c r="W19" s="957"/>
    </row>
    <row r="20" spans="1:23" ht="15" customHeight="1" thickBot="1" x14ac:dyDescent="0.3">
      <c r="A20" s="38">
        <f>A19+$F$6+"00:02"</f>
        <v>0.42083333333333323</v>
      </c>
      <c r="B20" s="39" t="str">
        <f>B10</f>
        <v>Equipe 2</v>
      </c>
      <c r="C20" s="39" t="str">
        <f>B12</f>
        <v>Equipe 4</v>
      </c>
      <c r="D20" s="972"/>
      <c r="E20" s="973"/>
      <c r="F20" s="2"/>
      <c r="G20" s="40">
        <f>G19+$F$6+"00:02"</f>
        <v>0.42083333333333323</v>
      </c>
      <c r="H20" s="41" t="str">
        <f>H10</f>
        <v>Equipe 6</v>
      </c>
      <c r="I20" s="41" t="str">
        <f>H12</f>
        <v>Equipe 8</v>
      </c>
      <c r="J20" s="958"/>
      <c r="K20" s="1020"/>
      <c r="L20" s="242"/>
      <c r="M20" s="239">
        <f>M19+R6+"00:02"</f>
        <v>0.47777777777777747</v>
      </c>
      <c r="N20" s="39" t="str">
        <f>N10</f>
        <v>Equipe 2</v>
      </c>
      <c r="O20" s="39" t="str">
        <f>N12</f>
        <v>Equipe 8</v>
      </c>
      <c r="P20" s="972"/>
      <c r="Q20" s="973"/>
      <c r="R20" s="2"/>
      <c r="S20" s="40">
        <f>S19+R6+"00:02"</f>
        <v>0.47777777777777747</v>
      </c>
      <c r="T20" s="41" t="str">
        <f>T10</f>
        <v>Equipe 4</v>
      </c>
      <c r="U20" s="41" t="str">
        <f>T12</f>
        <v>Equipe 6</v>
      </c>
      <c r="V20" s="958"/>
      <c r="W20" s="959"/>
    </row>
    <row r="21" spans="1:23" ht="15" customHeight="1" thickBot="1" x14ac:dyDescent="0.3">
      <c r="A21" s="19"/>
      <c r="B21" s="2"/>
      <c r="C21" s="2"/>
      <c r="D21" s="226"/>
      <c r="E21" s="226"/>
      <c r="F21" s="2"/>
      <c r="G21" s="2"/>
      <c r="H21" s="2"/>
      <c r="I21" s="47"/>
      <c r="J21" s="226"/>
      <c r="K21" s="226"/>
      <c r="L21" s="242"/>
      <c r="M21" s="2"/>
      <c r="N21" s="2"/>
      <c r="O21" s="2"/>
      <c r="P21" s="226"/>
      <c r="Q21" s="226"/>
      <c r="R21" s="2"/>
      <c r="S21" s="2"/>
      <c r="T21" s="2"/>
      <c r="U21" s="47"/>
      <c r="V21" s="226"/>
      <c r="W21" s="227"/>
    </row>
    <row r="22" spans="1:23" s="29" customFormat="1" ht="15" customHeight="1" x14ac:dyDescent="0.25">
      <c r="A22" s="24"/>
      <c r="B22" s="713" t="s">
        <v>7</v>
      </c>
      <c r="C22" s="713"/>
      <c r="D22" s="950"/>
      <c r="E22" s="951"/>
      <c r="F22" s="25"/>
      <c r="G22" s="26"/>
      <c r="H22" s="715" t="s">
        <v>7</v>
      </c>
      <c r="I22" s="715"/>
      <c r="J22" s="954"/>
      <c r="K22" s="1018"/>
      <c r="L22" s="243"/>
      <c r="M22" s="237"/>
      <c r="N22" s="713" t="s">
        <v>12</v>
      </c>
      <c r="O22" s="713"/>
      <c r="P22" s="950"/>
      <c r="Q22" s="951"/>
      <c r="R22" s="25"/>
      <c r="S22" s="26"/>
      <c r="T22" s="715" t="s">
        <v>12</v>
      </c>
      <c r="U22" s="715"/>
      <c r="V22" s="954"/>
      <c r="W22" s="955"/>
    </row>
    <row r="23" spans="1:23" ht="15" customHeight="1" x14ac:dyDescent="0.25">
      <c r="A23" s="30">
        <f>A20+$F$6+"00:02"</f>
        <v>0.42916666666666653</v>
      </c>
      <c r="B23" s="31" t="str">
        <f>B9</f>
        <v>Equipe 1</v>
      </c>
      <c r="C23" s="31" t="str">
        <f>B12</f>
        <v>Equipe 4</v>
      </c>
      <c r="D23" s="952"/>
      <c r="E23" s="953"/>
      <c r="F23" s="2"/>
      <c r="G23" s="32">
        <f>G20+$F$6+"00:02"</f>
        <v>0.42916666666666653</v>
      </c>
      <c r="H23" s="33" t="str">
        <f>H9</f>
        <v>Equipe 5</v>
      </c>
      <c r="I23" s="33" t="str">
        <f>H12</f>
        <v>Equipe 8</v>
      </c>
      <c r="J23" s="956"/>
      <c r="K23" s="1019"/>
      <c r="L23" s="242"/>
      <c r="M23" s="238">
        <f>M20+R6+"00:02"</f>
        <v>0.48611111111111077</v>
      </c>
      <c r="N23" s="31" t="str">
        <f>N9</f>
        <v>Equipe 1</v>
      </c>
      <c r="O23" s="31" t="str">
        <f>N12</f>
        <v>Equipe 8</v>
      </c>
      <c r="P23" s="952"/>
      <c r="Q23" s="953"/>
      <c r="R23" s="2"/>
      <c r="S23" s="32">
        <f>S20+R6+"00:02"</f>
        <v>0.48611111111111077</v>
      </c>
      <c r="T23" s="33" t="str">
        <f>T9</f>
        <v>Equipe 3</v>
      </c>
      <c r="U23" s="33" t="str">
        <f>T12</f>
        <v>Equipe 6</v>
      </c>
      <c r="V23" s="956"/>
      <c r="W23" s="957"/>
    </row>
    <row r="24" spans="1:23" ht="15" customHeight="1" thickBot="1" x14ac:dyDescent="0.3">
      <c r="A24" s="38">
        <f>A23+$F$6+"00:02"</f>
        <v>0.43749999999999983</v>
      </c>
      <c r="B24" s="39" t="str">
        <f>B10</f>
        <v>Equipe 2</v>
      </c>
      <c r="C24" s="39" t="str">
        <f>B11</f>
        <v>Equipe 3</v>
      </c>
      <c r="D24" s="972"/>
      <c r="E24" s="973"/>
      <c r="F24" s="47"/>
      <c r="G24" s="40">
        <f>G23+$F$6+"00:02"</f>
        <v>0.43749999999999983</v>
      </c>
      <c r="H24" s="41" t="str">
        <f>H10</f>
        <v>Equipe 6</v>
      </c>
      <c r="I24" s="41" t="str">
        <f>H11</f>
        <v>Equipe 7</v>
      </c>
      <c r="J24" s="958"/>
      <c r="K24" s="1020"/>
      <c r="L24" s="244"/>
      <c r="M24" s="239">
        <f>M23+R6+"00:02"</f>
        <v>0.49444444444444408</v>
      </c>
      <c r="N24" s="39" t="str">
        <f>N10</f>
        <v>Equipe 2</v>
      </c>
      <c r="O24" s="39" t="str">
        <f>N11</f>
        <v>Equipe 7</v>
      </c>
      <c r="P24" s="972"/>
      <c r="Q24" s="973"/>
      <c r="R24" s="47"/>
      <c r="S24" s="40">
        <f>S23+R6+"00:02"</f>
        <v>0.49444444444444408</v>
      </c>
      <c r="T24" s="41" t="str">
        <f>T10</f>
        <v>Equipe 4</v>
      </c>
      <c r="U24" s="41" t="str">
        <f>T11</f>
        <v>Equipe 5</v>
      </c>
      <c r="V24" s="958"/>
      <c r="W24" s="959"/>
    </row>
    <row r="25" spans="1:23" ht="15" customHeight="1" thickBot="1" x14ac:dyDescent="0.3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73"/>
      <c r="L25" s="323"/>
      <c r="M25" s="120"/>
      <c r="N25" s="119"/>
      <c r="O25" s="119"/>
      <c r="P25" s="173"/>
      <c r="Q25" s="173"/>
      <c r="R25" s="89"/>
      <c r="S25" s="93"/>
      <c r="T25" s="115"/>
      <c r="U25" s="115"/>
      <c r="V25" s="116"/>
      <c r="W25" s="117"/>
    </row>
    <row r="26" spans="1:23" x14ac:dyDescent="0.25">
      <c r="U26" s="932" t="s">
        <v>119</v>
      </c>
      <c r="V26" s="932"/>
      <c r="W26" s="932"/>
    </row>
  </sheetData>
  <sheetProtection sheet="1" scenarios="1" selectLockedCells="1"/>
  <mergeCells count="66">
    <mergeCell ref="U26:W26"/>
    <mergeCell ref="B8:E8"/>
    <mergeCell ref="H8:I8"/>
    <mergeCell ref="J8:K12"/>
    <mergeCell ref="A3:I3"/>
    <mergeCell ref="E4:G4"/>
    <mergeCell ref="I4:K4"/>
    <mergeCell ref="E5:G5"/>
    <mergeCell ref="B9:C9"/>
    <mergeCell ref="D9:E12"/>
    <mergeCell ref="H9:I9"/>
    <mergeCell ref="B10:C10"/>
    <mergeCell ref="H10:I10"/>
    <mergeCell ref="B14:C14"/>
    <mergeCell ref="D14:E16"/>
    <mergeCell ref="H14:I14"/>
    <mergeCell ref="J14:K16"/>
    <mergeCell ref="B11:C11"/>
    <mergeCell ref="H11:I11"/>
    <mergeCell ref="B12:C12"/>
    <mergeCell ref="H12:I12"/>
    <mergeCell ref="B22:C22"/>
    <mergeCell ref="D22:E24"/>
    <mergeCell ref="H22:I22"/>
    <mergeCell ref="J22:K24"/>
    <mergeCell ref="B18:C18"/>
    <mergeCell ref="D18:E20"/>
    <mergeCell ref="H18:I18"/>
    <mergeCell ref="J18:K20"/>
    <mergeCell ref="P8:Q12"/>
    <mergeCell ref="T8:U8"/>
    <mergeCell ref="T11:U11"/>
    <mergeCell ref="N12:O12"/>
    <mergeCell ref="N9:O9"/>
    <mergeCell ref="T9:U9"/>
    <mergeCell ref="N10:O10"/>
    <mergeCell ref="T10:U10"/>
    <mergeCell ref="N11:O11"/>
    <mergeCell ref="T12:U12"/>
    <mergeCell ref="N8:O8"/>
    <mergeCell ref="N14:O14"/>
    <mergeCell ref="P14:Q16"/>
    <mergeCell ref="T14:U14"/>
    <mergeCell ref="V14:W16"/>
    <mergeCell ref="N22:O22"/>
    <mergeCell ref="P22:Q24"/>
    <mergeCell ref="T22:U22"/>
    <mergeCell ref="V22:W24"/>
    <mergeCell ref="N18:O18"/>
    <mergeCell ref="P18:Q20"/>
    <mergeCell ref="T18:U18"/>
    <mergeCell ref="V18:W20"/>
    <mergeCell ref="A1:T1"/>
    <mergeCell ref="U1:W5"/>
    <mergeCell ref="R6:S6"/>
    <mergeCell ref="A7:E7"/>
    <mergeCell ref="G7:K7"/>
    <mergeCell ref="M7:Q7"/>
    <mergeCell ref="S7:W7"/>
    <mergeCell ref="F6:G6"/>
    <mergeCell ref="A6:B6"/>
    <mergeCell ref="C6:E6"/>
    <mergeCell ref="M6:N6"/>
    <mergeCell ref="O6:Q6"/>
    <mergeCell ref="L4:M4"/>
    <mergeCell ref="L5:M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7" orientation="landscape" horizontalDpi="300" verticalDpi="3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5"/>
  <sheetViews>
    <sheetView showGridLines="0" zoomScaleNormal="10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24" width="11.5703125" style="1"/>
    <col min="25" max="33" width="11.5703125" style="1" customWidth="1"/>
    <col min="34" max="16384" width="11.5703125" style="1"/>
  </cols>
  <sheetData>
    <row r="1" spans="1:24" ht="24.95" customHeight="1" x14ac:dyDescent="0.25">
      <c r="A1" s="821" t="s">
        <v>181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3"/>
      <c r="U1" s="826"/>
      <c r="V1" s="827"/>
      <c r="W1" s="828"/>
    </row>
    <row r="2" spans="1:24" ht="24.95" customHeight="1" x14ac:dyDescent="0.25">
      <c r="A2" s="262" t="s">
        <v>177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104"/>
      <c r="P2" s="218"/>
      <c r="Q2" s="218"/>
      <c r="R2" s="218"/>
      <c r="S2" s="218"/>
      <c r="T2" s="218"/>
      <c r="U2" s="829"/>
      <c r="V2" s="830"/>
      <c r="W2" s="831"/>
    </row>
    <row r="3" spans="1:24" ht="24.95" customHeight="1" thickBot="1" x14ac:dyDescent="0.3">
      <c r="A3" s="736" t="s">
        <v>180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104"/>
      <c r="P3" s="218"/>
      <c r="Q3" s="218"/>
      <c r="R3" s="218"/>
      <c r="S3" s="218"/>
      <c r="T3" s="218"/>
      <c r="U3" s="829"/>
      <c r="V3" s="830"/>
      <c r="W3" s="831"/>
    </row>
    <row r="4" spans="1:24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311"/>
      <c r="I4" s="264" t="s">
        <v>167</v>
      </c>
      <c r="J4" s="264"/>
      <c r="K4" s="312"/>
      <c r="L4" s="742">
        <f>(4*G6)+(4*S6)</f>
        <v>4.4444444444444446E-2</v>
      </c>
      <c r="M4" s="742"/>
      <c r="N4" s="264" t="s">
        <v>33</v>
      </c>
      <c r="O4" s="264"/>
      <c r="P4" s="218"/>
      <c r="Q4" s="218"/>
      <c r="R4" s="218"/>
      <c r="S4" s="218"/>
      <c r="T4" s="218"/>
      <c r="U4" s="829"/>
      <c r="V4" s="830"/>
      <c r="W4" s="831"/>
      <c r="X4" s="71"/>
    </row>
    <row r="5" spans="1:24" ht="24.95" customHeight="1" thickBot="1" x14ac:dyDescent="0.3">
      <c r="A5" s="263" t="s">
        <v>32</v>
      </c>
      <c r="B5" s="104"/>
      <c r="C5" s="104"/>
      <c r="D5" s="104"/>
      <c r="E5" s="876">
        <f>S33-A16+S6</f>
        <v>0.13749999999999954</v>
      </c>
      <c r="F5" s="876"/>
      <c r="G5" s="876"/>
      <c r="H5" s="104"/>
      <c r="I5" s="312" t="s">
        <v>79</v>
      </c>
      <c r="J5" s="312"/>
      <c r="K5" s="312"/>
      <c r="L5" s="687">
        <v>0</v>
      </c>
      <c r="M5" s="688"/>
      <c r="N5" s="104"/>
      <c r="O5" s="104"/>
      <c r="P5" s="218"/>
      <c r="Q5" s="218"/>
      <c r="R5" s="218"/>
      <c r="S5" s="218"/>
      <c r="T5" s="218"/>
      <c r="U5" s="832"/>
      <c r="V5" s="833"/>
      <c r="W5" s="834"/>
    </row>
    <row r="6" spans="1:24" ht="16.5" thickBot="1" x14ac:dyDescent="0.3">
      <c r="A6" s="701" t="s">
        <v>85</v>
      </c>
      <c r="B6" s="685"/>
      <c r="C6" s="685"/>
      <c r="D6" s="686" t="s">
        <v>18</v>
      </c>
      <c r="E6" s="686"/>
      <c r="F6" s="686"/>
      <c r="G6" s="782">
        <v>5.5555555555555558E-3</v>
      </c>
      <c r="H6" s="782"/>
      <c r="I6" s="276" t="s">
        <v>17</v>
      </c>
      <c r="J6" s="276"/>
      <c r="K6" s="276"/>
      <c r="L6" s="109"/>
      <c r="M6" s="685" t="s">
        <v>86</v>
      </c>
      <c r="N6" s="685"/>
      <c r="O6" s="685"/>
      <c r="P6" s="868" t="s">
        <v>18</v>
      </c>
      <c r="Q6" s="868"/>
      <c r="R6" s="868"/>
      <c r="S6" s="782">
        <v>5.5555555555555558E-3</v>
      </c>
      <c r="T6" s="782"/>
      <c r="U6" s="276" t="s">
        <v>17</v>
      </c>
      <c r="V6" s="276"/>
      <c r="W6" s="277"/>
    </row>
    <row r="7" spans="1:24" ht="16.5" thickBot="1" x14ac:dyDescent="0.3">
      <c r="A7" s="780" t="s">
        <v>87</v>
      </c>
      <c r="B7" s="686"/>
      <c r="C7" s="686"/>
      <c r="D7" s="686"/>
      <c r="E7" s="781"/>
      <c r="F7" s="316"/>
      <c r="G7" s="1029" t="s">
        <v>88</v>
      </c>
      <c r="H7" s="1030"/>
      <c r="I7" s="1030"/>
      <c r="J7" s="1030"/>
      <c r="K7" s="1030"/>
      <c r="L7" s="110"/>
      <c r="M7" s="686" t="s">
        <v>87</v>
      </c>
      <c r="N7" s="686"/>
      <c r="O7" s="686"/>
      <c r="P7" s="686"/>
      <c r="Q7" s="781"/>
      <c r="R7" s="316"/>
      <c r="S7" s="1029" t="s">
        <v>88</v>
      </c>
      <c r="T7" s="1030"/>
      <c r="U7" s="1030"/>
      <c r="V7" s="1030"/>
      <c r="W7" s="1031"/>
    </row>
    <row r="8" spans="1:24" x14ac:dyDescent="0.25">
      <c r="A8" s="6"/>
      <c r="B8" s="744" t="s">
        <v>41</v>
      </c>
      <c r="C8" s="745"/>
      <c r="D8" s="976"/>
      <c r="E8" s="977"/>
      <c r="F8" s="102"/>
      <c r="G8" s="7"/>
      <c r="H8" s="747" t="s">
        <v>42</v>
      </c>
      <c r="I8" s="748"/>
      <c r="J8" s="982"/>
      <c r="K8" s="1021"/>
      <c r="L8" s="110"/>
      <c r="M8" s="356"/>
      <c r="N8" s="804" t="s">
        <v>41</v>
      </c>
      <c r="O8" s="805"/>
      <c r="P8" s="986"/>
      <c r="Q8" s="987"/>
      <c r="R8" s="102"/>
      <c r="S8" s="9"/>
      <c r="T8" s="807" t="s">
        <v>42</v>
      </c>
      <c r="U8" s="808"/>
      <c r="V8" s="966"/>
      <c r="W8" s="967"/>
    </row>
    <row r="9" spans="1:24" x14ac:dyDescent="0.25">
      <c r="A9" s="10">
        <v>1</v>
      </c>
      <c r="B9" s="731" t="s">
        <v>22</v>
      </c>
      <c r="C9" s="732"/>
      <c r="D9" s="976"/>
      <c r="E9" s="977"/>
      <c r="F9" s="103"/>
      <c r="G9" s="11">
        <v>1</v>
      </c>
      <c r="H9" s="727" t="s">
        <v>27</v>
      </c>
      <c r="I9" s="728"/>
      <c r="J9" s="982"/>
      <c r="K9" s="1021"/>
      <c r="L9" s="110"/>
      <c r="M9" s="357">
        <v>1</v>
      </c>
      <c r="N9" s="844" t="str">
        <f>B9</f>
        <v>Equipe 1</v>
      </c>
      <c r="O9" s="845"/>
      <c r="P9" s="988"/>
      <c r="Q9" s="989"/>
      <c r="R9" s="103"/>
      <c r="S9" s="13">
        <v>1</v>
      </c>
      <c r="T9" s="835" t="str">
        <f>H9</f>
        <v>Equipe 6</v>
      </c>
      <c r="U9" s="836"/>
      <c r="V9" s="968"/>
      <c r="W9" s="969"/>
    </row>
    <row r="10" spans="1:24" x14ac:dyDescent="0.25">
      <c r="A10" s="10">
        <v>2</v>
      </c>
      <c r="B10" s="731" t="s">
        <v>23</v>
      </c>
      <c r="C10" s="732"/>
      <c r="D10" s="976"/>
      <c r="E10" s="977"/>
      <c r="F10" s="103"/>
      <c r="G10" s="11">
        <v>2</v>
      </c>
      <c r="H10" s="727" t="s">
        <v>28</v>
      </c>
      <c r="I10" s="728"/>
      <c r="J10" s="982"/>
      <c r="K10" s="1021"/>
      <c r="L10" s="110"/>
      <c r="M10" s="357">
        <v>2</v>
      </c>
      <c r="N10" s="844" t="str">
        <f>H12</f>
        <v>Equipe 9</v>
      </c>
      <c r="O10" s="845"/>
      <c r="P10" s="988"/>
      <c r="Q10" s="989"/>
      <c r="R10" s="103"/>
      <c r="S10" s="13">
        <v>2</v>
      </c>
      <c r="T10" s="835" t="str">
        <f>B12</f>
        <v>Equipe 4</v>
      </c>
      <c r="U10" s="836"/>
      <c r="V10" s="968"/>
      <c r="W10" s="969"/>
    </row>
    <row r="11" spans="1:24" x14ac:dyDescent="0.25">
      <c r="A11" s="10">
        <v>3</v>
      </c>
      <c r="B11" s="731" t="s">
        <v>24</v>
      </c>
      <c r="C11" s="732"/>
      <c r="D11" s="976"/>
      <c r="E11" s="977"/>
      <c r="F11" s="103"/>
      <c r="G11" s="11">
        <v>3</v>
      </c>
      <c r="H11" s="727" t="s">
        <v>29</v>
      </c>
      <c r="I11" s="728"/>
      <c r="J11" s="982"/>
      <c r="K11" s="1021"/>
      <c r="L11" s="110"/>
      <c r="M11" s="357">
        <v>3</v>
      </c>
      <c r="N11" s="844" t="str">
        <f>B11</f>
        <v>Equipe 3</v>
      </c>
      <c r="O11" s="845"/>
      <c r="P11" s="988"/>
      <c r="Q11" s="989"/>
      <c r="R11" s="103"/>
      <c r="S11" s="13">
        <v>3</v>
      </c>
      <c r="T11" s="835" t="str">
        <f>H11</f>
        <v>Equipe 8</v>
      </c>
      <c r="U11" s="836"/>
      <c r="V11" s="968"/>
      <c r="W11" s="969"/>
    </row>
    <row r="12" spans="1:24" x14ac:dyDescent="0.25">
      <c r="A12" s="306">
        <v>4</v>
      </c>
      <c r="B12" s="731" t="s">
        <v>25</v>
      </c>
      <c r="C12" s="884"/>
      <c r="D12" s="976"/>
      <c r="E12" s="977"/>
      <c r="F12" s="103"/>
      <c r="G12" s="307">
        <v>4</v>
      </c>
      <c r="H12" s="727" t="s">
        <v>37</v>
      </c>
      <c r="I12" s="885"/>
      <c r="J12" s="982"/>
      <c r="K12" s="1021"/>
      <c r="L12" s="110"/>
      <c r="M12" s="358">
        <v>4</v>
      </c>
      <c r="N12" s="877" t="str">
        <f>H13</f>
        <v>Equipe 10</v>
      </c>
      <c r="O12" s="878"/>
      <c r="P12" s="988"/>
      <c r="Q12" s="989"/>
      <c r="R12" s="103"/>
      <c r="S12" s="309">
        <v>4</v>
      </c>
      <c r="T12" s="879" t="str">
        <f>B13</f>
        <v>Equipe 5</v>
      </c>
      <c r="U12" s="880"/>
      <c r="V12" s="968"/>
      <c r="W12" s="969"/>
    </row>
    <row r="13" spans="1:24" ht="15.75" thickBot="1" x14ac:dyDescent="0.3">
      <c r="A13" s="15">
        <v>5</v>
      </c>
      <c r="B13" s="717" t="s">
        <v>26</v>
      </c>
      <c r="C13" s="718"/>
      <c r="D13" s="978"/>
      <c r="E13" s="979"/>
      <c r="F13" s="103"/>
      <c r="G13" s="16">
        <v>5</v>
      </c>
      <c r="H13" s="721" t="s">
        <v>38</v>
      </c>
      <c r="I13" s="722"/>
      <c r="J13" s="984"/>
      <c r="K13" s="1022"/>
      <c r="L13" s="110"/>
      <c r="M13" s="359">
        <v>5</v>
      </c>
      <c r="N13" s="846" t="str">
        <f>B10</f>
        <v>Equipe 2</v>
      </c>
      <c r="O13" s="889"/>
      <c r="P13" s="990"/>
      <c r="Q13" s="991"/>
      <c r="R13" s="103"/>
      <c r="S13" s="18">
        <v>5</v>
      </c>
      <c r="T13" s="837" t="str">
        <f>H10</f>
        <v>Equipe 7</v>
      </c>
      <c r="U13" s="887"/>
      <c r="V13" s="970"/>
      <c r="W13" s="971"/>
    </row>
    <row r="14" spans="1:24" ht="15.75" thickBot="1" x14ac:dyDescent="0.3">
      <c r="A14" s="19"/>
      <c r="B14" s="2"/>
      <c r="C14" s="2"/>
      <c r="D14" s="2"/>
      <c r="E14" s="2"/>
      <c r="F14" s="2"/>
      <c r="G14" s="2"/>
      <c r="H14" s="2"/>
      <c r="I14" s="20"/>
      <c r="J14" s="2"/>
      <c r="K14" s="2"/>
      <c r="L14" s="110"/>
      <c r="M14" s="2"/>
      <c r="N14" s="2"/>
      <c r="O14" s="2"/>
      <c r="P14" s="2"/>
      <c r="Q14" s="2"/>
      <c r="R14" s="2"/>
      <c r="S14" s="2"/>
      <c r="T14" s="2"/>
      <c r="U14" s="2"/>
      <c r="V14" s="22"/>
      <c r="W14" s="23"/>
    </row>
    <row r="15" spans="1:24" s="29" customFormat="1" x14ac:dyDescent="0.25">
      <c r="A15" s="24"/>
      <c r="B15" s="713" t="s">
        <v>5</v>
      </c>
      <c r="C15" s="713"/>
      <c r="D15" s="950"/>
      <c r="E15" s="951"/>
      <c r="F15" s="25"/>
      <c r="G15" s="26"/>
      <c r="H15" s="715" t="s">
        <v>5</v>
      </c>
      <c r="I15" s="715"/>
      <c r="J15" s="954"/>
      <c r="K15" s="1018"/>
      <c r="L15" s="111"/>
      <c r="M15" s="360"/>
      <c r="N15" s="786" t="s">
        <v>12</v>
      </c>
      <c r="O15" s="786"/>
      <c r="P15" s="960"/>
      <c r="Q15" s="961"/>
      <c r="R15" s="25"/>
      <c r="S15" s="28"/>
      <c r="T15" s="784" t="s">
        <v>12</v>
      </c>
      <c r="U15" s="784"/>
      <c r="V15" s="941"/>
      <c r="W15" s="942"/>
    </row>
    <row r="16" spans="1:24" x14ac:dyDescent="0.25">
      <c r="A16" s="30">
        <f>E4</f>
        <v>0.375</v>
      </c>
      <c r="B16" s="31" t="str">
        <f>B9</f>
        <v>Equipe 1</v>
      </c>
      <c r="C16" s="31" t="str">
        <f>B10</f>
        <v>Equipe 2</v>
      </c>
      <c r="D16" s="952"/>
      <c r="E16" s="953"/>
      <c r="F16" s="2"/>
      <c r="G16" s="32">
        <f>A16</f>
        <v>0.375</v>
      </c>
      <c r="H16" s="33" t="str">
        <f>H9</f>
        <v>Equipe 6</v>
      </c>
      <c r="I16" s="33" t="str">
        <f>H10</f>
        <v>Equipe 7</v>
      </c>
      <c r="J16" s="956"/>
      <c r="K16" s="1019"/>
      <c r="L16" s="110"/>
      <c r="M16" s="361">
        <f>G33+$G$6+"00:02"+L5</f>
        <v>0.4444444444444442</v>
      </c>
      <c r="N16" s="35" t="str">
        <f>N9</f>
        <v>Equipe 1</v>
      </c>
      <c r="O16" s="35" t="str">
        <f>N10</f>
        <v>Equipe 9</v>
      </c>
      <c r="P16" s="962"/>
      <c r="Q16" s="963"/>
      <c r="R16" s="2"/>
      <c r="S16" s="36">
        <f>M16</f>
        <v>0.4444444444444442</v>
      </c>
      <c r="T16" s="37" t="str">
        <f>T9</f>
        <v>Equipe 6</v>
      </c>
      <c r="U16" s="37" t="str">
        <f>T10</f>
        <v>Equipe 4</v>
      </c>
      <c r="V16" s="943"/>
      <c r="W16" s="944"/>
    </row>
    <row r="17" spans="1:23" ht="15.75" thickBot="1" x14ac:dyDescent="0.3">
      <c r="A17" s="38">
        <f>A16+$G$6+"00:02"</f>
        <v>0.38194444444444442</v>
      </c>
      <c r="B17" s="39" t="str">
        <f>B11</f>
        <v>Equipe 3</v>
      </c>
      <c r="C17" s="39" t="str">
        <f>+B12</f>
        <v>Equipe 4</v>
      </c>
      <c r="D17" s="972"/>
      <c r="E17" s="973"/>
      <c r="F17" s="2"/>
      <c r="G17" s="40">
        <f>G16+$G$6+"00:02"</f>
        <v>0.38194444444444442</v>
      </c>
      <c r="H17" s="41" t="str">
        <f>H11</f>
        <v>Equipe 8</v>
      </c>
      <c r="I17" s="41" t="str">
        <f>+H12</f>
        <v>Equipe 9</v>
      </c>
      <c r="J17" s="958"/>
      <c r="K17" s="1020"/>
      <c r="L17" s="110"/>
      <c r="M17" s="362">
        <f>M16+$S$6+"00:02"</f>
        <v>0.45138888888888862</v>
      </c>
      <c r="N17" s="43" t="str">
        <f>N11</f>
        <v>Equipe 3</v>
      </c>
      <c r="O17" s="43" t="str">
        <f>+N12</f>
        <v>Equipe 10</v>
      </c>
      <c r="P17" s="964"/>
      <c r="Q17" s="965"/>
      <c r="R17" s="2"/>
      <c r="S17" s="44">
        <f>S16+$S$6+"00:02"</f>
        <v>0.45138888888888862</v>
      </c>
      <c r="T17" s="45" t="str">
        <f>T11</f>
        <v>Equipe 8</v>
      </c>
      <c r="U17" s="45" t="str">
        <f>+T12</f>
        <v>Equipe 5</v>
      </c>
      <c r="V17" s="945"/>
      <c r="W17" s="946"/>
    </row>
    <row r="18" spans="1:23" ht="15.75" thickBot="1" x14ac:dyDescent="0.3">
      <c r="A18" s="19"/>
      <c r="B18" s="2"/>
      <c r="C18" s="2"/>
      <c r="D18" s="281"/>
      <c r="E18" s="281"/>
      <c r="F18" s="2"/>
      <c r="G18" s="2"/>
      <c r="H18" s="2"/>
      <c r="I18" s="47"/>
      <c r="J18" s="281"/>
      <c r="K18" s="281"/>
      <c r="L18" s="110"/>
      <c r="M18" s="2"/>
      <c r="N18" s="2"/>
      <c r="O18" s="2"/>
      <c r="P18" s="281"/>
      <c r="Q18" s="281"/>
      <c r="R18" s="2"/>
      <c r="S18" s="2"/>
      <c r="T18" s="2"/>
      <c r="U18" s="2"/>
      <c r="V18" s="281"/>
      <c r="W18" s="280"/>
    </row>
    <row r="19" spans="1:23" s="29" customFormat="1" x14ac:dyDescent="0.25">
      <c r="A19" s="24"/>
      <c r="B19" s="713" t="s">
        <v>6</v>
      </c>
      <c r="C19" s="713"/>
      <c r="D19" s="950"/>
      <c r="E19" s="951"/>
      <c r="F19" s="25"/>
      <c r="G19" s="26"/>
      <c r="H19" s="715" t="s">
        <v>6</v>
      </c>
      <c r="I19" s="715"/>
      <c r="J19" s="954"/>
      <c r="K19" s="1018"/>
      <c r="L19" s="111"/>
      <c r="M19" s="360"/>
      <c r="N19" s="786" t="s">
        <v>165</v>
      </c>
      <c r="O19" s="786"/>
      <c r="P19" s="960"/>
      <c r="Q19" s="961"/>
      <c r="R19" s="25"/>
      <c r="S19" s="28"/>
      <c r="T19" s="784" t="s">
        <v>165</v>
      </c>
      <c r="U19" s="784"/>
      <c r="V19" s="941"/>
      <c r="W19" s="942"/>
    </row>
    <row r="20" spans="1:23" x14ac:dyDescent="0.25">
      <c r="A20" s="30">
        <f>A17+$G$6+"00:02"</f>
        <v>0.38888888888888884</v>
      </c>
      <c r="B20" s="31" t="str">
        <f>B9</f>
        <v>Equipe 1</v>
      </c>
      <c r="C20" s="31" t="str">
        <f>B13</f>
        <v>Equipe 5</v>
      </c>
      <c r="D20" s="952"/>
      <c r="E20" s="953"/>
      <c r="F20" s="2"/>
      <c r="G20" s="32">
        <f>A20</f>
        <v>0.38888888888888884</v>
      </c>
      <c r="H20" s="33" t="str">
        <f>H9</f>
        <v>Equipe 6</v>
      </c>
      <c r="I20" s="33" t="str">
        <f>H13</f>
        <v>Equipe 10</v>
      </c>
      <c r="J20" s="956"/>
      <c r="K20" s="1019"/>
      <c r="L20" s="110"/>
      <c r="M20" s="361">
        <f>M17+$S$6+"00:02"</f>
        <v>0.45833333333333304</v>
      </c>
      <c r="N20" s="35" t="str">
        <f>N9</f>
        <v>Equipe 1</v>
      </c>
      <c r="O20" s="35" t="str">
        <f>N13</f>
        <v>Equipe 2</v>
      </c>
      <c r="P20" s="962"/>
      <c r="Q20" s="963"/>
      <c r="R20" s="2"/>
      <c r="S20" s="36">
        <f>M20</f>
        <v>0.45833333333333304</v>
      </c>
      <c r="T20" s="37" t="str">
        <f>T9</f>
        <v>Equipe 6</v>
      </c>
      <c r="U20" s="37" t="str">
        <f>T13</f>
        <v>Equipe 7</v>
      </c>
      <c r="V20" s="943"/>
      <c r="W20" s="944"/>
    </row>
    <row r="21" spans="1:23" ht="15.75" thickBot="1" x14ac:dyDescent="0.3">
      <c r="A21" s="38">
        <f>A20+$G$6+"00:02"</f>
        <v>0.39583333333333326</v>
      </c>
      <c r="B21" s="39" t="str">
        <f>B10</f>
        <v>Equipe 2</v>
      </c>
      <c r="C21" s="39" t="str">
        <f>B11</f>
        <v>Equipe 3</v>
      </c>
      <c r="D21" s="972"/>
      <c r="E21" s="973"/>
      <c r="F21" s="2"/>
      <c r="G21" s="40">
        <f>G20+$G$6+"00:02"</f>
        <v>0.39583333333333326</v>
      </c>
      <c r="H21" s="41" t="str">
        <f>H10</f>
        <v>Equipe 7</v>
      </c>
      <c r="I21" s="41" t="str">
        <f>H11</f>
        <v>Equipe 8</v>
      </c>
      <c r="J21" s="958"/>
      <c r="K21" s="1020"/>
      <c r="L21" s="110"/>
      <c r="M21" s="362">
        <f>M20+$S$6+"00:02"</f>
        <v>0.46527777777777746</v>
      </c>
      <c r="N21" s="43" t="str">
        <f>N10</f>
        <v>Equipe 9</v>
      </c>
      <c r="O21" s="43" t="str">
        <f>N11</f>
        <v>Equipe 3</v>
      </c>
      <c r="P21" s="964"/>
      <c r="Q21" s="965"/>
      <c r="R21" s="2"/>
      <c r="S21" s="44">
        <f>S20+$S$6+"00:02"</f>
        <v>0.46527777777777746</v>
      </c>
      <c r="T21" s="45" t="str">
        <f>T10</f>
        <v>Equipe 4</v>
      </c>
      <c r="U21" s="45" t="str">
        <f>T11</f>
        <v>Equipe 8</v>
      </c>
      <c r="V21" s="945"/>
      <c r="W21" s="946"/>
    </row>
    <row r="22" spans="1:23" ht="15.75" thickBot="1" x14ac:dyDescent="0.3">
      <c r="A22" s="19"/>
      <c r="B22" s="2"/>
      <c r="C22" s="2"/>
      <c r="D22" s="281"/>
      <c r="E22" s="281"/>
      <c r="F22" s="2"/>
      <c r="G22" s="2"/>
      <c r="H22" s="2"/>
      <c r="I22" s="47"/>
      <c r="J22" s="281"/>
      <c r="K22" s="281"/>
      <c r="L22" s="110"/>
      <c r="M22" s="2"/>
      <c r="N22" s="2"/>
      <c r="O22" s="2"/>
      <c r="P22" s="281"/>
      <c r="Q22" s="281"/>
      <c r="R22" s="2"/>
      <c r="S22" s="2"/>
      <c r="T22" s="2"/>
      <c r="U22" s="2"/>
      <c r="V22" s="281"/>
      <c r="W22" s="280"/>
    </row>
    <row r="23" spans="1:23" s="29" customFormat="1" x14ac:dyDescent="0.25">
      <c r="A23" s="24"/>
      <c r="B23" s="713" t="s">
        <v>7</v>
      </c>
      <c r="C23" s="713"/>
      <c r="D23" s="950"/>
      <c r="E23" s="951"/>
      <c r="F23" s="25"/>
      <c r="G23" s="26"/>
      <c r="H23" s="715" t="s">
        <v>7</v>
      </c>
      <c r="I23" s="715"/>
      <c r="J23" s="954"/>
      <c r="K23" s="1018"/>
      <c r="L23" s="111"/>
      <c r="M23" s="360"/>
      <c r="N23" s="786" t="s">
        <v>166</v>
      </c>
      <c r="O23" s="786"/>
      <c r="P23" s="960"/>
      <c r="Q23" s="961"/>
      <c r="R23" s="25"/>
      <c r="S23" s="28"/>
      <c r="T23" s="784" t="s">
        <v>166</v>
      </c>
      <c r="U23" s="784"/>
      <c r="V23" s="941"/>
      <c r="W23" s="942"/>
    </row>
    <row r="24" spans="1:23" x14ac:dyDescent="0.25">
      <c r="A24" s="30">
        <f>A21+$G$6+"00:02"</f>
        <v>0.40277777777777768</v>
      </c>
      <c r="B24" s="31" t="str">
        <f>B9</f>
        <v>Equipe 1</v>
      </c>
      <c r="C24" s="31" t="str">
        <f>B12</f>
        <v>Equipe 4</v>
      </c>
      <c r="D24" s="952"/>
      <c r="E24" s="953"/>
      <c r="F24" s="2"/>
      <c r="G24" s="32">
        <f>A24</f>
        <v>0.40277777777777768</v>
      </c>
      <c r="H24" s="33" t="str">
        <f>H9</f>
        <v>Equipe 6</v>
      </c>
      <c r="I24" s="33" t="str">
        <f>H12</f>
        <v>Equipe 9</v>
      </c>
      <c r="J24" s="956"/>
      <c r="K24" s="1019"/>
      <c r="L24" s="110"/>
      <c r="M24" s="361">
        <f>M21+$S$6+"00:02"</f>
        <v>0.47222222222222188</v>
      </c>
      <c r="N24" s="35" t="str">
        <f>N9</f>
        <v>Equipe 1</v>
      </c>
      <c r="O24" s="35" t="str">
        <f>N12</f>
        <v>Equipe 10</v>
      </c>
      <c r="P24" s="962"/>
      <c r="Q24" s="963"/>
      <c r="R24" s="2"/>
      <c r="S24" s="36">
        <f>M24</f>
        <v>0.47222222222222188</v>
      </c>
      <c r="T24" s="37" t="str">
        <f>T9</f>
        <v>Equipe 6</v>
      </c>
      <c r="U24" s="37" t="str">
        <f>T12</f>
        <v>Equipe 5</v>
      </c>
      <c r="V24" s="943"/>
      <c r="W24" s="944"/>
    </row>
    <row r="25" spans="1:23" ht="15.75" thickBot="1" x14ac:dyDescent="0.3">
      <c r="A25" s="38">
        <f>A24+$G$6+"00:02"</f>
        <v>0.4097222222222221</v>
      </c>
      <c r="B25" s="39" t="str">
        <f>B10</f>
        <v>Equipe 2</v>
      </c>
      <c r="C25" s="39" t="str">
        <f>B13</f>
        <v>Equipe 5</v>
      </c>
      <c r="D25" s="972"/>
      <c r="E25" s="973"/>
      <c r="F25" s="2"/>
      <c r="G25" s="40">
        <f>G24+$G$6+"00:02"</f>
        <v>0.4097222222222221</v>
      </c>
      <c r="H25" s="41" t="str">
        <f>H10</f>
        <v>Equipe 7</v>
      </c>
      <c r="I25" s="41" t="str">
        <f>H13</f>
        <v>Equipe 10</v>
      </c>
      <c r="J25" s="958"/>
      <c r="K25" s="1020"/>
      <c r="L25" s="110"/>
      <c r="M25" s="362">
        <f>M24+$S$6+"00:02"</f>
        <v>0.4791666666666663</v>
      </c>
      <c r="N25" s="43" t="str">
        <f>N10</f>
        <v>Equipe 9</v>
      </c>
      <c r="O25" s="43" t="str">
        <f>N13</f>
        <v>Equipe 2</v>
      </c>
      <c r="P25" s="964"/>
      <c r="Q25" s="965"/>
      <c r="R25" s="2"/>
      <c r="S25" s="44">
        <f>S24+$S$6+"00:02"</f>
        <v>0.4791666666666663</v>
      </c>
      <c r="T25" s="45" t="str">
        <f>T10</f>
        <v>Equipe 4</v>
      </c>
      <c r="U25" s="45" t="str">
        <f>T13</f>
        <v>Equipe 7</v>
      </c>
      <c r="V25" s="945"/>
      <c r="W25" s="946"/>
    </row>
    <row r="26" spans="1:23" ht="15.75" thickBot="1" x14ac:dyDescent="0.3">
      <c r="A26" s="163"/>
      <c r="B26" s="138"/>
      <c r="C26" s="138"/>
      <c r="D26" s="161"/>
      <c r="E26" s="161"/>
      <c r="F26" s="85"/>
      <c r="G26" s="137"/>
      <c r="H26" s="138"/>
      <c r="I26" s="138"/>
      <c r="J26" s="321"/>
      <c r="K26" s="321"/>
      <c r="L26" s="110"/>
      <c r="M26" s="137"/>
      <c r="N26" s="138"/>
      <c r="O26" s="138"/>
      <c r="P26" s="161"/>
      <c r="Q26" s="161"/>
      <c r="R26" s="85"/>
      <c r="S26" s="137"/>
      <c r="T26" s="138"/>
      <c r="U26" s="138"/>
      <c r="V26" s="161"/>
      <c r="W26" s="162"/>
    </row>
    <row r="27" spans="1:23" s="29" customFormat="1" x14ac:dyDescent="0.25">
      <c r="A27" s="24"/>
      <c r="B27" s="713" t="s">
        <v>10</v>
      </c>
      <c r="C27" s="713"/>
      <c r="D27" s="950"/>
      <c r="E27" s="951"/>
      <c r="F27" s="25"/>
      <c r="G27" s="26"/>
      <c r="H27" s="715" t="s">
        <v>10</v>
      </c>
      <c r="I27" s="883"/>
      <c r="J27" s="993"/>
      <c r="K27" s="1032"/>
      <c r="L27" s="111"/>
      <c r="M27" s="360"/>
      <c r="N27" s="786" t="s">
        <v>228</v>
      </c>
      <c r="O27" s="786"/>
      <c r="P27" s="960"/>
      <c r="Q27" s="961"/>
      <c r="R27" s="25"/>
      <c r="S27" s="28"/>
      <c r="T27" s="784" t="s">
        <v>228</v>
      </c>
      <c r="U27" s="784"/>
      <c r="V27" s="941"/>
      <c r="W27" s="942"/>
    </row>
    <row r="28" spans="1:23" x14ac:dyDescent="0.25">
      <c r="A28" s="30">
        <f>A25+$G$6+"00:02"</f>
        <v>0.41666666666666652</v>
      </c>
      <c r="B28" s="31" t="str">
        <f>B9</f>
        <v>Equipe 1</v>
      </c>
      <c r="C28" s="31" t="str">
        <f>B11</f>
        <v>Equipe 3</v>
      </c>
      <c r="D28" s="952"/>
      <c r="E28" s="953"/>
      <c r="F28" s="2"/>
      <c r="G28" s="32">
        <f>A28</f>
        <v>0.41666666666666652</v>
      </c>
      <c r="H28" s="33" t="str">
        <f>H9</f>
        <v>Equipe 6</v>
      </c>
      <c r="I28" s="314" t="str">
        <f>H11</f>
        <v>Equipe 8</v>
      </c>
      <c r="J28" s="995"/>
      <c r="K28" s="1033"/>
      <c r="L28" s="110"/>
      <c r="M28" s="361">
        <f>M25+$S$6+"00:02"</f>
        <v>0.48611111111111072</v>
      </c>
      <c r="N28" s="35" t="str">
        <f>N9</f>
        <v>Equipe 1</v>
      </c>
      <c r="O28" s="35" t="str">
        <f>N11</f>
        <v>Equipe 3</v>
      </c>
      <c r="P28" s="962"/>
      <c r="Q28" s="963"/>
      <c r="R28" s="2"/>
      <c r="S28" s="36">
        <f>M28</f>
        <v>0.48611111111111072</v>
      </c>
      <c r="T28" s="37" t="str">
        <f>T9</f>
        <v>Equipe 6</v>
      </c>
      <c r="U28" s="37" t="str">
        <f>T11</f>
        <v>Equipe 8</v>
      </c>
      <c r="V28" s="943"/>
      <c r="W28" s="944"/>
    </row>
    <row r="29" spans="1:23" ht="15.75" thickBot="1" x14ac:dyDescent="0.3">
      <c r="A29" s="38">
        <f>A28+$G$6+"00:02"</f>
        <v>0.42361111111111094</v>
      </c>
      <c r="B29" s="39" t="str">
        <f>B12</f>
        <v>Equipe 4</v>
      </c>
      <c r="C29" s="39" t="str">
        <f>B13</f>
        <v>Equipe 5</v>
      </c>
      <c r="D29" s="972"/>
      <c r="E29" s="973"/>
      <c r="F29" s="2"/>
      <c r="G29" s="40">
        <f>G28+$G$6+"00:02"</f>
        <v>0.42361111111111094</v>
      </c>
      <c r="H29" s="41" t="str">
        <f>H12</f>
        <v>Equipe 9</v>
      </c>
      <c r="I29" s="315" t="str">
        <f>H13</f>
        <v>Equipe 10</v>
      </c>
      <c r="J29" s="997"/>
      <c r="K29" s="1034"/>
      <c r="L29" s="110"/>
      <c r="M29" s="362">
        <f>M28+$S$6+"00:02"</f>
        <v>0.49305555555555514</v>
      </c>
      <c r="N29" s="43" t="str">
        <f>N12</f>
        <v>Equipe 10</v>
      </c>
      <c r="O29" s="43" t="str">
        <f>N13</f>
        <v>Equipe 2</v>
      </c>
      <c r="P29" s="964"/>
      <c r="Q29" s="965"/>
      <c r="R29" s="2"/>
      <c r="S29" s="44">
        <f>S28+$S$6+"00:02"</f>
        <v>0.49305555555555514</v>
      </c>
      <c r="T29" s="45" t="str">
        <f>T12</f>
        <v>Equipe 5</v>
      </c>
      <c r="U29" s="45" t="str">
        <f>T13</f>
        <v>Equipe 7</v>
      </c>
      <c r="V29" s="945"/>
      <c r="W29" s="946"/>
    </row>
    <row r="30" spans="1:23" ht="15.75" thickBot="1" x14ac:dyDescent="0.3">
      <c r="A30" s="163"/>
      <c r="B30" s="138"/>
      <c r="C30" s="138"/>
      <c r="D30" s="161"/>
      <c r="E30" s="161"/>
      <c r="F30" s="85"/>
      <c r="G30" s="137"/>
      <c r="H30" s="138"/>
      <c r="I30" s="138"/>
      <c r="J30" s="161"/>
      <c r="K30" s="161"/>
      <c r="L30" s="110"/>
      <c r="M30" s="137"/>
      <c r="N30" s="138"/>
      <c r="O30" s="138"/>
      <c r="P30" s="161"/>
      <c r="Q30" s="161"/>
      <c r="R30" s="85"/>
      <c r="S30" s="137"/>
      <c r="T30" s="138"/>
      <c r="U30" s="138"/>
      <c r="V30" s="161"/>
      <c r="W30" s="162"/>
    </row>
    <row r="31" spans="1:23" s="29" customFormat="1" x14ac:dyDescent="0.25">
      <c r="A31" s="24"/>
      <c r="B31" s="713" t="s">
        <v>11</v>
      </c>
      <c r="C31" s="713"/>
      <c r="D31" s="950"/>
      <c r="E31" s="951"/>
      <c r="F31" s="25"/>
      <c r="G31" s="26"/>
      <c r="H31" s="715" t="s">
        <v>11</v>
      </c>
      <c r="I31" s="715"/>
      <c r="J31" s="954"/>
      <c r="K31" s="1018"/>
      <c r="L31" s="111"/>
      <c r="M31" s="360"/>
      <c r="N31" s="786" t="s">
        <v>229</v>
      </c>
      <c r="O31" s="786"/>
      <c r="P31" s="960"/>
      <c r="Q31" s="961"/>
      <c r="R31" s="25"/>
      <c r="S31" s="28"/>
      <c r="T31" s="784" t="s">
        <v>229</v>
      </c>
      <c r="U31" s="784"/>
      <c r="V31" s="941"/>
      <c r="W31" s="942"/>
    </row>
    <row r="32" spans="1:23" x14ac:dyDescent="0.25">
      <c r="A32" s="30">
        <f>A29+$G$6+"00:02"</f>
        <v>0.43055555555555536</v>
      </c>
      <c r="B32" s="31" t="str">
        <f>B10</f>
        <v>Equipe 2</v>
      </c>
      <c r="C32" s="31" t="str">
        <f>B12</f>
        <v>Equipe 4</v>
      </c>
      <c r="D32" s="952"/>
      <c r="E32" s="953"/>
      <c r="F32" s="2"/>
      <c r="G32" s="32">
        <f>A32</f>
        <v>0.43055555555555536</v>
      </c>
      <c r="H32" s="33" t="str">
        <f>H10</f>
        <v>Equipe 7</v>
      </c>
      <c r="I32" s="33" t="str">
        <f>H12</f>
        <v>Equipe 9</v>
      </c>
      <c r="J32" s="956"/>
      <c r="K32" s="1019"/>
      <c r="L32" s="110"/>
      <c r="M32" s="361">
        <f>M29+$S$6+"00:02"</f>
        <v>0.49999999999999956</v>
      </c>
      <c r="N32" s="35" t="str">
        <f>N10</f>
        <v>Equipe 9</v>
      </c>
      <c r="O32" s="35" t="str">
        <f>N12</f>
        <v>Equipe 10</v>
      </c>
      <c r="P32" s="962"/>
      <c r="Q32" s="963"/>
      <c r="R32" s="2"/>
      <c r="S32" s="36">
        <f>M32</f>
        <v>0.49999999999999956</v>
      </c>
      <c r="T32" s="37" t="str">
        <f>T10</f>
        <v>Equipe 4</v>
      </c>
      <c r="U32" s="37" t="str">
        <f>T12</f>
        <v>Equipe 5</v>
      </c>
      <c r="V32" s="943"/>
      <c r="W32" s="944"/>
    </row>
    <row r="33" spans="1:23" ht="15.75" thickBot="1" x14ac:dyDescent="0.3">
      <c r="A33" s="38">
        <f>A32+$G$6+"00:02"</f>
        <v>0.43749999999999978</v>
      </c>
      <c r="B33" s="39" t="str">
        <f>B11</f>
        <v>Equipe 3</v>
      </c>
      <c r="C33" s="39" t="str">
        <f>B13</f>
        <v>Equipe 5</v>
      </c>
      <c r="D33" s="972"/>
      <c r="E33" s="973"/>
      <c r="F33" s="47"/>
      <c r="G33" s="40">
        <f>G32+$G$6+"00:02"</f>
        <v>0.43749999999999978</v>
      </c>
      <c r="H33" s="41" t="str">
        <f>H11</f>
        <v>Equipe 8</v>
      </c>
      <c r="I33" s="41" t="str">
        <f>H13</f>
        <v>Equipe 10</v>
      </c>
      <c r="J33" s="958"/>
      <c r="K33" s="1020"/>
      <c r="L33" s="110"/>
      <c r="M33" s="362">
        <f>M32+$S$6+"00:02"</f>
        <v>0.50694444444444398</v>
      </c>
      <c r="N33" s="43" t="str">
        <f>N11</f>
        <v>Equipe 3</v>
      </c>
      <c r="O33" s="43" t="str">
        <f>N13</f>
        <v>Equipe 2</v>
      </c>
      <c r="P33" s="964"/>
      <c r="Q33" s="965"/>
      <c r="R33" s="47"/>
      <c r="S33" s="44">
        <f>S32+$S$6+"00:02"</f>
        <v>0.50694444444444398</v>
      </c>
      <c r="T33" s="45" t="str">
        <f>T11</f>
        <v>Equipe 8</v>
      </c>
      <c r="U33" s="45" t="str">
        <f>T13</f>
        <v>Equipe 7</v>
      </c>
      <c r="V33" s="945"/>
      <c r="W33" s="946"/>
    </row>
    <row r="34" spans="1:23" ht="24.95" customHeight="1" thickBot="1" x14ac:dyDescent="0.3">
      <c r="A34" s="10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322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107"/>
    </row>
    <row r="35" spans="1:23" x14ac:dyDescent="0.25">
      <c r="U35" s="932" t="s">
        <v>168</v>
      </c>
      <c r="V35" s="932"/>
      <c r="W35" s="932"/>
    </row>
  </sheetData>
  <sheetProtection sheet="1" scenarios="1" selectLockedCells="1"/>
  <mergeCells count="86">
    <mergeCell ref="A1:T1"/>
    <mergeCell ref="U35:W35"/>
    <mergeCell ref="S6:T6"/>
    <mergeCell ref="A3:I3"/>
    <mergeCell ref="E4:G4"/>
    <mergeCell ref="L4:M4"/>
    <mergeCell ref="E5:G5"/>
    <mergeCell ref="L5:M5"/>
    <mergeCell ref="A6:C6"/>
    <mergeCell ref="D6:F6"/>
    <mergeCell ref="G6:H6"/>
    <mergeCell ref="M6:O6"/>
    <mergeCell ref="P6:R6"/>
    <mergeCell ref="V8:W13"/>
    <mergeCell ref="B9:C9"/>
    <mergeCell ref="H9:I9"/>
    <mergeCell ref="T9:U9"/>
    <mergeCell ref="B10:C10"/>
    <mergeCell ref="H10:I10"/>
    <mergeCell ref="N10:O10"/>
    <mergeCell ref="T10:U10"/>
    <mergeCell ref="P8:Q13"/>
    <mergeCell ref="T13:U13"/>
    <mergeCell ref="T8:U8"/>
    <mergeCell ref="T11:U11"/>
    <mergeCell ref="T12:U12"/>
    <mergeCell ref="B8:C8"/>
    <mergeCell ref="D8:E13"/>
    <mergeCell ref="H8:I8"/>
    <mergeCell ref="J8:K13"/>
    <mergeCell ref="N8:O8"/>
    <mergeCell ref="B11:C11"/>
    <mergeCell ref="B13:C13"/>
    <mergeCell ref="H13:I13"/>
    <mergeCell ref="N13:O13"/>
    <mergeCell ref="H11:I11"/>
    <mergeCell ref="N11:O11"/>
    <mergeCell ref="B12:C12"/>
    <mergeCell ref="H12:I12"/>
    <mergeCell ref="N12:O12"/>
    <mergeCell ref="N9:O9"/>
    <mergeCell ref="T15:U15"/>
    <mergeCell ref="V15:W17"/>
    <mergeCell ref="B19:C19"/>
    <mergeCell ref="D19:E21"/>
    <mergeCell ref="H19:I19"/>
    <mergeCell ref="J19:K21"/>
    <mergeCell ref="N19:O19"/>
    <mergeCell ref="P19:Q21"/>
    <mergeCell ref="T19:U19"/>
    <mergeCell ref="V19:W21"/>
    <mergeCell ref="B15:C15"/>
    <mergeCell ref="D15:E17"/>
    <mergeCell ref="H15:I15"/>
    <mergeCell ref="J15:K17"/>
    <mergeCell ref="N15:O15"/>
    <mergeCell ref="P15:Q17"/>
    <mergeCell ref="T27:U27"/>
    <mergeCell ref="V27:W29"/>
    <mergeCell ref="B23:C23"/>
    <mergeCell ref="D23:E25"/>
    <mergeCell ref="H23:I23"/>
    <mergeCell ref="J23:K25"/>
    <mergeCell ref="N23:O23"/>
    <mergeCell ref="P23:Q25"/>
    <mergeCell ref="D27:E29"/>
    <mergeCell ref="H27:I27"/>
    <mergeCell ref="J27:K29"/>
    <mergeCell ref="N27:O27"/>
    <mergeCell ref="P27:Q29"/>
    <mergeCell ref="U1:W5"/>
    <mergeCell ref="T31:U31"/>
    <mergeCell ref="V31:W33"/>
    <mergeCell ref="A7:E7"/>
    <mergeCell ref="G7:K7"/>
    <mergeCell ref="M7:Q7"/>
    <mergeCell ref="S7:W7"/>
    <mergeCell ref="B31:C31"/>
    <mergeCell ref="D31:E33"/>
    <mergeCell ref="H31:I31"/>
    <mergeCell ref="J31:K33"/>
    <mergeCell ref="N31:O31"/>
    <mergeCell ref="P31:Q33"/>
    <mergeCell ref="T23:U23"/>
    <mergeCell ref="V23:W25"/>
    <mergeCell ref="B27:C2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7" orientation="landscape" horizontalDpi="300" verticalDpi="3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41"/>
  <sheetViews>
    <sheetView showGridLines="0" zoomScaleNormal="100" workbookViewId="0">
      <selection sqref="A1:U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4" width="2.85546875" style="1" customWidth="1"/>
    <col min="5" max="5" width="5.85546875" style="1" customWidth="1"/>
    <col min="6" max="7" width="12.85546875" style="1" customWidth="1"/>
    <col min="8" max="8" width="2.85546875" style="1" customWidth="1"/>
    <col min="9" max="9" width="5.85546875" style="1" customWidth="1"/>
    <col min="10" max="11" width="12.85546875" style="1" customWidth="1"/>
    <col min="12" max="12" width="2.85546875" style="1" customWidth="1"/>
    <col min="13" max="13" width="5.85546875" style="1" customWidth="1"/>
    <col min="14" max="15" width="12.85546875" style="1" customWidth="1"/>
    <col min="16" max="16" width="2.85546875" style="1" customWidth="1"/>
    <col min="17" max="17" width="5.85546875" style="1" customWidth="1"/>
    <col min="18" max="19" width="12.85546875" style="1" customWidth="1"/>
    <col min="20" max="20" width="2.85546875" style="1" customWidth="1"/>
    <col min="21" max="21" width="5.85546875" style="1" customWidth="1"/>
    <col min="22" max="23" width="12.85546875" style="1" customWidth="1"/>
    <col min="24" max="16384" width="11.5703125" style="1"/>
  </cols>
  <sheetData>
    <row r="1" spans="1:23" ht="24.95" customHeight="1" x14ac:dyDescent="0.35">
      <c r="A1" s="734" t="s">
        <v>178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820"/>
      <c r="V1" s="690"/>
      <c r="W1" s="692"/>
    </row>
    <row r="2" spans="1:23" ht="24.95" customHeight="1" x14ac:dyDescent="0.25">
      <c r="A2" s="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1"/>
      <c r="V2" s="693"/>
      <c r="W2" s="695"/>
    </row>
    <row r="3" spans="1:23" ht="24.95" customHeight="1" thickBot="1" x14ac:dyDescent="0.3">
      <c r="A3" s="262" t="s">
        <v>169</v>
      </c>
      <c r="B3" s="104"/>
      <c r="C3" s="104"/>
      <c r="D3" s="104" t="s">
        <v>179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261"/>
      <c r="V3" s="693"/>
      <c r="W3" s="695"/>
    </row>
    <row r="4" spans="1:23" ht="24.95" customHeight="1" thickBot="1" x14ac:dyDescent="0.3">
      <c r="A4" s="263" t="s">
        <v>52</v>
      </c>
      <c r="B4" s="2"/>
      <c r="C4" s="2"/>
      <c r="D4" s="85"/>
      <c r="E4" s="85"/>
      <c r="F4" s="220">
        <v>0.41666666666666669</v>
      </c>
      <c r="G4" s="2"/>
      <c r="H4" s="219"/>
      <c r="I4" s="2"/>
      <c r="J4" s="741" t="s">
        <v>54</v>
      </c>
      <c r="K4" s="741"/>
      <c r="L4" s="1054">
        <f>(3*N6)+(3*N23)</f>
        <v>3.3333333333333333E-2</v>
      </c>
      <c r="M4" s="1054"/>
      <c r="N4" s="264" t="s">
        <v>33</v>
      </c>
      <c r="O4" s="2"/>
      <c r="P4" s="2"/>
      <c r="Q4" s="2"/>
      <c r="R4" s="2"/>
      <c r="S4" s="2"/>
      <c r="T4" s="2"/>
      <c r="U4" s="21"/>
      <c r="V4" s="693"/>
      <c r="W4" s="695"/>
    </row>
    <row r="5" spans="1:23" ht="24.95" customHeight="1" thickBot="1" x14ac:dyDescent="0.3">
      <c r="A5" s="317" t="s">
        <v>32</v>
      </c>
      <c r="B5" s="215"/>
      <c r="C5" s="47"/>
      <c r="D5" s="47"/>
      <c r="E5" s="47"/>
      <c r="F5" s="214">
        <f>I38-A15+N23</f>
        <v>0.12361111111111074</v>
      </c>
      <c r="G5" s="214"/>
      <c r="H5" s="47"/>
      <c r="I5" s="999" t="s">
        <v>79</v>
      </c>
      <c r="J5" s="999"/>
      <c r="K5" s="999"/>
      <c r="L5" s="687">
        <v>0</v>
      </c>
      <c r="M5" s="688"/>
      <c r="N5" s="47"/>
      <c r="O5" s="47"/>
      <c r="P5" s="47"/>
      <c r="Q5" s="47"/>
      <c r="R5" s="47"/>
      <c r="S5" s="47"/>
      <c r="T5" s="47"/>
      <c r="U5" s="188"/>
      <c r="V5" s="693"/>
      <c r="W5" s="695"/>
    </row>
    <row r="6" spans="1:23" ht="15" customHeight="1" thickBot="1" x14ac:dyDescent="0.3">
      <c r="A6" s="701" t="s">
        <v>89</v>
      </c>
      <c r="B6" s="685"/>
      <c r="C6" s="685"/>
      <c r="D6" s="685"/>
      <c r="E6" s="685"/>
      <c r="F6" s="685"/>
      <c r="G6" s="685"/>
      <c r="H6" s="685"/>
      <c r="I6" s="685"/>
      <c r="J6" s="685"/>
      <c r="K6" s="685" t="s">
        <v>18</v>
      </c>
      <c r="L6" s="685"/>
      <c r="M6" s="1047"/>
      <c r="N6" s="245">
        <v>5.5555555555555558E-3</v>
      </c>
      <c r="O6" s="233" t="s">
        <v>17</v>
      </c>
      <c r="P6" s="247"/>
      <c r="Q6" s="233"/>
      <c r="R6" s="22"/>
      <c r="S6" s="22"/>
      <c r="T6" s="22"/>
      <c r="U6" s="22"/>
      <c r="V6" s="22"/>
      <c r="W6" s="23"/>
    </row>
    <row r="7" spans="1:23" ht="15" customHeight="1" x14ac:dyDescent="0.25">
      <c r="A7" s="125"/>
      <c r="B7" s="912" t="s">
        <v>41</v>
      </c>
      <c r="C7" s="914"/>
      <c r="D7" s="102"/>
      <c r="E7" s="124"/>
      <c r="F7" s="915" t="s">
        <v>42</v>
      </c>
      <c r="G7" s="917"/>
      <c r="H7" s="103"/>
      <c r="I7" s="97"/>
      <c r="J7" s="852" t="s">
        <v>43</v>
      </c>
      <c r="K7" s="853"/>
      <c r="L7" s="85"/>
      <c r="M7" s="248"/>
      <c r="N7" s="1049"/>
      <c r="O7" s="1049"/>
      <c r="P7" s="249"/>
      <c r="Q7" s="249"/>
      <c r="R7" s="1049"/>
      <c r="S7" s="1049"/>
      <c r="T7" s="246"/>
      <c r="U7" s="249"/>
      <c r="V7" s="1049"/>
      <c r="W7" s="1050"/>
    </row>
    <row r="8" spans="1:23" ht="15" customHeight="1" x14ac:dyDescent="0.25">
      <c r="A8" s="10">
        <v>1</v>
      </c>
      <c r="B8" s="731" t="s">
        <v>22</v>
      </c>
      <c r="C8" s="1010"/>
      <c r="D8" s="103"/>
      <c r="E8" s="11">
        <v>1</v>
      </c>
      <c r="F8" s="727" t="s">
        <v>26</v>
      </c>
      <c r="G8" s="1011"/>
      <c r="H8" s="103"/>
      <c r="I8" s="12">
        <v>1</v>
      </c>
      <c r="J8" s="800" t="s">
        <v>37</v>
      </c>
      <c r="K8" s="1012"/>
      <c r="L8" s="85"/>
      <c r="M8" s="250"/>
      <c r="N8" s="1048"/>
      <c r="O8" s="1048"/>
      <c r="P8" s="85"/>
      <c r="Q8" s="230"/>
      <c r="R8" s="1048"/>
      <c r="S8" s="1048"/>
      <c r="T8" s="85"/>
      <c r="U8" s="230"/>
      <c r="V8" s="1048"/>
      <c r="W8" s="1051"/>
    </row>
    <row r="9" spans="1:23" ht="15" customHeight="1" x14ac:dyDescent="0.25">
      <c r="A9" s="10">
        <v>2</v>
      </c>
      <c r="B9" s="731" t="s">
        <v>23</v>
      </c>
      <c r="C9" s="1010"/>
      <c r="D9" s="103"/>
      <c r="E9" s="11">
        <v>2</v>
      </c>
      <c r="F9" s="727" t="s">
        <v>27</v>
      </c>
      <c r="G9" s="1011"/>
      <c r="H9" s="103"/>
      <c r="I9" s="12">
        <v>2</v>
      </c>
      <c r="J9" s="800" t="s">
        <v>38</v>
      </c>
      <c r="K9" s="1012"/>
      <c r="L9" s="85"/>
      <c r="M9" s="250"/>
      <c r="N9" s="1048"/>
      <c r="O9" s="1048"/>
      <c r="P9" s="85"/>
      <c r="Q9" s="230"/>
      <c r="R9" s="1048"/>
      <c r="S9" s="1048"/>
      <c r="T9" s="85"/>
      <c r="U9" s="230"/>
      <c r="V9" s="1048"/>
      <c r="W9" s="1051"/>
    </row>
    <row r="10" spans="1:23" ht="15" customHeight="1" x14ac:dyDescent="0.25">
      <c r="A10" s="10">
        <v>3</v>
      </c>
      <c r="B10" s="731" t="s">
        <v>24</v>
      </c>
      <c r="C10" s="1010"/>
      <c r="D10" s="103"/>
      <c r="E10" s="11">
        <v>3</v>
      </c>
      <c r="F10" s="727" t="s">
        <v>28</v>
      </c>
      <c r="G10" s="1011"/>
      <c r="H10" s="103"/>
      <c r="I10" s="12">
        <v>3</v>
      </c>
      <c r="J10" s="800" t="s">
        <v>39</v>
      </c>
      <c r="K10" s="1012"/>
      <c r="L10" s="85"/>
      <c r="M10" s="250"/>
      <c r="N10" s="1048"/>
      <c r="O10" s="1048"/>
      <c r="P10" s="85"/>
      <c r="Q10" s="230"/>
      <c r="R10" s="1048"/>
      <c r="S10" s="1048"/>
      <c r="T10" s="85"/>
      <c r="U10" s="230"/>
      <c r="V10" s="1048"/>
      <c r="W10" s="1051"/>
    </row>
    <row r="11" spans="1:23" ht="15" customHeight="1" thickBot="1" x14ac:dyDescent="0.3">
      <c r="A11" s="15">
        <v>4</v>
      </c>
      <c r="B11" s="717" t="s">
        <v>25</v>
      </c>
      <c r="C11" s="1007"/>
      <c r="D11" s="103"/>
      <c r="E11" s="16">
        <v>4</v>
      </c>
      <c r="F11" s="721" t="s">
        <v>29</v>
      </c>
      <c r="G11" s="1008"/>
      <c r="H11" s="103"/>
      <c r="I11" s="17">
        <v>4</v>
      </c>
      <c r="J11" s="792" t="s">
        <v>40</v>
      </c>
      <c r="K11" s="1009"/>
      <c r="L11" s="85"/>
      <c r="M11" s="251"/>
      <c r="N11" s="1045"/>
      <c r="O11" s="1045"/>
      <c r="P11" s="89"/>
      <c r="Q11" s="93"/>
      <c r="R11" s="1045"/>
      <c r="S11" s="1045"/>
      <c r="T11" s="89"/>
      <c r="U11" s="93"/>
      <c r="V11" s="1045"/>
      <c r="W11" s="1046"/>
    </row>
    <row r="12" spans="1:23" ht="15" customHeight="1" thickBot="1" x14ac:dyDescent="0.3">
      <c r="A12" s="19"/>
      <c r="B12" s="2"/>
      <c r="C12" s="2"/>
      <c r="D12" s="2"/>
      <c r="E12" s="2"/>
      <c r="F12" s="2"/>
      <c r="G12" s="22"/>
      <c r="H12" s="85"/>
      <c r="I12" s="2"/>
      <c r="J12" s="2"/>
      <c r="K12" s="22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103"/>
    </row>
    <row r="13" spans="1:23" ht="15" customHeight="1" thickBot="1" x14ac:dyDescent="0.3">
      <c r="A13" s="1052" t="s">
        <v>87</v>
      </c>
      <c r="B13" s="1053"/>
      <c r="C13" s="1053"/>
      <c r="D13" s="1053"/>
      <c r="E13" s="1053"/>
      <c r="F13" s="1053"/>
      <c r="G13" s="1053"/>
      <c r="H13" s="1053"/>
      <c r="I13" s="1053"/>
      <c r="J13" s="1053"/>
      <c r="K13" s="1053"/>
      <c r="L13" s="371"/>
      <c r="M13" s="671" t="s">
        <v>88</v>
      </c>
      <c r="N13" s="671"/>
      <c r="O13" s="671"/>
      <c r="P13" s="671"/>
      <c r="Q13" s="671"/>
      <c r="R13" s="671"/>
      <c r="S13" s="671"/>
      <c r="T13" s="671"/>
      <c r="U13" s="671"/>
      <c r="V13" s="671"/>
      <c r="W13" s="672"/>
    </row>
    <row r="14" spans="1:23" s="29" customFormat="1" ht="15" customHeight="1" x14ac:dyDescent="0.25">
      <c r="A14" s="24"/>
      <c r="B14" s="713" t="s">
        <v>5</v>
      </c>
      <c r="C14" s="714"/>
      <c r="D14" s="25"/>
      <c r="E14" s="26"/>
      <c r="F14" s="715" t="s">
        <v>5</v>
      </c>
      <c r="G14" s="716"/>
      <c r="H14" s="102"/>
      <c r="I14" s="27"/>
      <c r="J14" s="786" t="s">
        <v>5</v>
      </c>
      <c r="K14" s="1042"/>
      <c r="L14" s="77"/>
      <c r="M14" s="237"/>
      <c r="N14" s="713" t="s">
        <v>5</v>
      </c>
      <c r="O14" s="714"/>
      <c r="P14" s="25"/>
      <c r="Q14" s="26"/>
      <c r="R14" s="715" t="s">
        <v>5</v>
      </c>
      <c r="S14" s="716"/>
      <c r="T14" s="102"/>
      <c r="U14" s="27"/>
      <c r="V14" s="786" t="s">
        <v>5</v>
      </c>
      <c r="W14" s="787"/>
    </row>
    <row r="15" spans="1:23" ht="15" customHeight="1" thickBot="1" x14ac:dyDescent="0.3">
      <c r="A15" s="38">
        <f>F4</f>
        <v>0.41666666666666669</v>
      </c>
      <c r="B15" s="39" t="str">
        <f>B8</f>
        <v>Equipe 1</v>
      </c>
      <c r="C15" s="252" t="str">
        <f>B9</f>
        <v>Equipe 2</v>
      </c>
      <c r="D15" s="2"/>
      <c r="E15" s="40">
        <f>A15+$N$6+"00:02"</f>
        <v>0.4236111111111111</v>
      </c>
      <c r="F15" s="41" t="str">
        <f>F8</f>
        <v>Equipe 5</v>
      </c>
      <c r="G15" s="253" t="str">
        <f>F9</f>
        <v>Equipe 6</v>
      </c>
      <c r="H15" s="103"/>
      <c r="I15" s="42">
        <f>E15+$N$6+"00:02"</f>
        <v>0.43055555555555552</v>
      </c>
      <c r="J15" s="43" t="str">
        <f>J8</f>
        <v>Equipe 9</v>
      </c>
      <c r="K15" s="370" t="str">
        <f>J9</f>
        <v>Equipe 10</v>
      </c>
      <c r="L15" s="76"/>
      <c r="M15" s="239">
        <f>A15</f>
        <v>0.41666666666666669</v>
      </c>
      <c r="N15" s="39" t="str">
        <f>B10</f>
        <v>Equipe 3</v>
      </c>
      <c r="O15" s="252" t="str">
        <f>B11</f>
        <v>Equipe 4</v>
      </c>
      <c r="P15" s="2"/>
      <c r="Q15" s="40">
        <f>E15</f>
        <v>0.4236111111111111</v>
      </c>
      <c r="R15" s="41" t="str">
        <f>F10</f>
        <v>Equipe 7</v>
      </c>
      <c r="S15" s="253" t="str">
        <f>F11</f>
        <v>Equipe 8</v>
      </c>
      <c r="T15" s="103"/>
      <c r="U15" s="42">
        <f>I15</f>
        <v>0.43055555555555552</v>
      </c>
      <c r="V15" s="43" t="str">
        <f>J10</f>
        <v>Equipe 11</v>
      </c>
      <c r="W15" s="204" t="str">
        <f>J11</f>
        <v>Equipe 12</v>
      </c>
    </row>
    <row r="16" spans="1:23" ht="15" customHeight="1" thickBot="1" x14ac:dyDescent="0.3">
      <c r="A16" s="19"/>
      <c r="B16" s="2"/>
      <c r="C16" s="2"/>
      <c r="D16" s="2"/>
      <c r="E16" s="2"/>
      <c r="F16" s="2"/>
      <c r="G16" s="47"/>
      <c r="H16" s="85"/>
      <c r="I16" s="2"/>
      <c r="J16" s="2"/>
      <c r="K16" s="20"/>
      <c r="L16" s="76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103"/>
    </row>
    <row r="17" spans="1:23" s="29" customFormat="1" ht="15" customHeight="1" x14ac:dyDescent="0.25">
      <c r="A17" s="24"/>
      <c r="B17" s="713" t="s">
        <v>6</v>
      </c>
      <c r="C17" s="714"/>
      <c r="D17" s="25"/>
      <c r="E17" s="26"/>
      <c r="F17" s="715" t="s">
        <v>6</v>
      </c>
      <c r="G17" s="716"/>
      <c r="H17" s="102"/>
      <c r="I17" s="27"/>
      <c r="J17" s="786" t="s">
        <v>6</v>
      </c>
      <c r="K17" s="1042"/>
      <c r="L17" s="77"/>
      <c r="M17" s="237"/>
      <c r="N17" s="713" t="s">
        <v>6</v>
      </c>
      <c r="O17" s="714"/>
      <c r="P17" s="25"/>
      <c r="Q17" s="26"/>
      <c r="R17" s="715" t="s">
        <v>6</v>
      </c>
      <c r="S17" s="716"/>
      <c r="T17" s="102"/>
      <c r="U17" s="27"/>
      <c r="V17" s="786" t="s">
        <v>6</v>
      </c>
      <c r="W17" s="787"/>
    </row>
    <row r="18" spans="1:23" ht="15" customHeight="1" thickBot="1" x14ac:dyDescent="0.3">
      <c r="A18" s="38">
        <f>I15+$N$6+"00:02"</f>
        <v>0.43749999999999994</v>
      </c>
      <c r="B18" s="39" t="str">
        <f>B8</f>
        <v>Equipe 1</v>
      </c>
      <c r="C18" s="252" t="str">
        <f>B10</f>
        <v>Equipe 3</v>
      </c>
      <c r="D18" s="2"/>
      <c r="E18" s="40">
        <f>A18+$N$6+"00:02"</f>
        <v>0.44444444444444436</v>
      </c>
      <c r="F18" s="41" t="str">
        <f>F8</f>
        <v>Equipe 5</v>
      </c>
      <c r="G18" s="253" t="str">
        <f>F10</f>
        <v>Equipe 7</v>
      </c>
      <c r="H18" s="103"/>
      <c r="I18" s="42">
        <f>E18+$N$6+"00:02"</f>
        <v>0.45138888888888878</v>
      </c>
      <c r="J18" s="43" t="str">
        <f>J8</f>
        <v>Equipe 9</v>
      </c>
      <c r="K18" s="370" t="str">
        <f>J10</f>
        <v>Equipe 11</v>
      </c>
      <c r="L18" s="76"/>
      <c r="M18" s="239">
        <f>U15+$N$6+"00:02"</f>
        <v>0.43749999999999994</v>
      </c>
      <c r="N18" s="39" t="str">
        <f>B9</f>
        <v>Equipe 2</v>
      </c>
      <c r="O18" s="252" t="str">
        <f>B11</f>
        <v>Equipe 4</v>
      </c>
      <c r="P18" s="2"/>
      <c r="Q18" s="40">
        <f>M18+$N$6+"00:02"</f>
        <v>0.44444444444444436</v>
      </c>
      <c r="R18" s="41" t="str">
        <f>F9</f>
        <v>Equipe 6</v>
      </c>
      <c r="S18" s="253" t="str">
        <f>F11</f>
        <v>Equipe 8</v>
      </c>
      <c r="T18" s="103"/>
      <c r="U18" s="42">
        <f>Q18+$N$6+"00:02"</f>
        <v>0.45138888888888878</v>
      </c>
      <c r="V18" s="43" t="str">
        <f>J9</f>
        <v>Equipe 10</v>
      </c>
      <c r="W18" s="204" t="str">
        <f>J11</f>
        <v>Equipe 12</v>
      </c>
    </row>
    <row r="19" spans="1:23" ht="15" customHeight="1" thickBot="1" x14ac:dyDescent="0.3">
      <c r="A19" s="19"/>
      <c r="B19" s="2"/>
      <c r="C19" s="2"/>
      <c r="D19" s="2"/>
      <c r="E19" s="2"/>
      <c r="F19" s="2"/>
      <c r="G19" s="47"/>
      <c r="H19" s="85"/>
      <c r="I19" s="2"/>
      <c r="J19" s="2"/>
      <c r="K19" s="20"/>
      <c r="L19" s="76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103"/>
    </row>
    <row r="20" spans="1:23" s="29" customFormat="1" ht="15" customHeight="1" x14ac:dyDescent="0.25">
      <c r="A20" s="24"/>
      <c r="B20" s="713" t="s">
        <v>7</v>
      </c>
      <c r="C20" s="713"/>
      <c r="D20" s="25"/>
      <c r="E20" s="26"/>
      <c r="F20" s="715" t="s">
        <v>7</v>
      </c>
      <c r="G20" s="715"/>
      <c r="H20" s="77"/>
      <c r="I20" s="27"/>
      <c r="J20" s="786" t="s">
        <v>7</v>
      </c>
      <c r="K20" s="1042"/>
      <c r="L20" s="77"/>
      <c r="M20" s="237"/>
      <c r="N20" s="713" t="s">
        <v>7</v>
      </c>
      <c r="O20" s="713"/>
      <c r="P20" s="25"/>
      <c r="Q20" s="26"/>
      <c r="R20" s="715" t="s">
        <v>7</v>
      </c>
      <c r="S20" s="715"/>
      <c r="T20" s="77"/>
      <c r="U20" s="27"/>
      <c r="V20" s="786" t="s">
        <v>7</v>
      </c>
      <c r="W20" s="787"/>
    </row>
    <row r="21" spans="1:23" ht="15" customHeight="1" thickBot="1" x14ac:dyDescent="0.3">
      <c r="A21" s="38">
        <f>I18+$N$6+"00:02"</f>
        <v>0.4583333333333332</v>
      </c>
      <c r="B21" s="39" t="str">
        <f>B8</f>
        <v>Equipe 1</v>
      </c>
      <c r="C21" s="39" t="str">
        <f>B11</f>
        <v>Equipe 4</v>
      </c>
      <c r="D21" s="47"/>
      <c r="E21" s="40">
        <f>A21+$N$6+"00:02"</f>
        <v>0.46527777777777762</v>
      </c>
      <c r="F21" s="41" t="str">
        <f>F8</f>
        <v>Equipe 5</v>
      </c>
      <c r="G21" s="41" t="str">
        <f>F11</f>
        <v>Equipe 8</v>
      </c>
      <c r="H21" s="78"/>
      <c r="I21" s="42">
        <f>E21+N6+"00:02"</f>
        <v>0.47222222222222204</v>
      </c>
      <c r="J21" s="43" t="str">
        <f>J8</f>
        <v>Equipe 9</v>
      </c>
      <c r="K21" s="370" t="str">
        <f>J11</f>
        <v>Equipe 12</v>
      </c>
      <c r="L21" s="78"/>
      <c r="M21" s="239">
        <f>U18+$N$6+"00:02"</f>
        <v>0.4583333333333332</v>
      </c>
      <c r="N21" s="39" t="str">
        <f>B9</f>
        <v>Equipe 2</v>
      </c>
      <c r="O21" s="39" t="str">
        <f>B10</f>
        <v>Equipe 3</v>
      </c>
      <c r="P21" s="47"/>
      <c r="Q21" s="40">
        <f>M21+$N$6+"00:02"</f>
        <v>0.46527777777777762</v>
      </c>
      <c r="R21" s="41" t="str">
        <f>F9</f>
        <v>Equipe 6</v>
      </c>
      <c r="S21" s="41" t="str">
        <f>F10</f>
        <v>Equipe 7</v>
      </c>
      <c r="T21" s="78"/>
      <c r="U21" s="42">
        <f>Q21+$N$6+"00:02"</f>
        <v>0.47222222222222204</v>
      </c>
      <c r="V21" s="43" t="str">
        <f>J9</f>
        <v>Equipe 10</v>
      </c>
      <c r="W21" s="204" t="str">
        <f>J10</f>
        <v>Equipe 11</v>
      </c>
    </row>
    <row r="22" spans="1:23" ht="30" customHeight="1" thickBot="1" x14ac:dyDescent="0.3">
      <c r="A22" s="255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7"/>
    </row>
    <row r="23" spans="1:23" ht="15" customHeight="1" thickBot="1" x14ac:dyDescent="0.3">
      <c r="A23" s="701" t="s">
        <v>90</v>
      </c>
      <c r="B23" s="685"/>
      <c r="C23" s="685"/>
      <c r="D23" s="685"/>
      <c r="E23" s="685"/>
      <c r="F23" s="685"/>
      <c r="G23" s="685"/>
      <c r="H23" s="685"/>
      <c r="I23" s="685"/>
      <c r="J23" s="685"/>
      <c r="K23" s="685" t="s">
        <v>18</v>
      </c>
      <c r="L23" s="1047"/>
      <c r="M23" s="1047"/>
      <c r="N23" s="245">
        <v>5.5555555555555558E-3</v>
      </c>
      <c r="O23" s="233" t="s">
        <v>17</v>
      </c>
      <c r="P23" s="247"/>
      <c r="Q23" s="233"/>
      <c r="R23" s="22"/>
      <c r="S23" s="22"/>
      <c r="T23" s="22"/>
      <c r="U23" s="22"/>
      <c r="V23" s="22"/>
      <c r="W23" s="23"/>
    </row>
    <row r="24" spans="1:23" ht="15" customHeight="1" x14ac:dyDescent="0.25">
      <c r="A24" s="125"/>
      <c r="B24" s="912" t="s">
        <v>41</v>
      </c>
      <c r="C24" s="914"/>
      <c r="D24" s="102"/>
      <c r="E24" s="124"/>
      <c r="F24" s="915" t="s">
        <v>42</v>
      </c>
      <c r="G24" s="917"/>
      <c r="H24" s="85"/>
      <c r="I24" s="97"/>
      <c r="J24" s="852" t="s">
        <v>43</v>
      </c>
      <c r="K24" s="853"/>
      <c r="L24" s="85"/>
      <c r="M24" s="248"/>
      <c r="N24" s="1049"/>
      <c r="O24" s="1049"/>
      <c r="P24" s="249"/>
      <c r="Q24" s="249"/>
      <c r="R24" s="1049"/>
      <c r="S24" s="1049"/>
      <c r="T24" s="246"/>
      <c r="U24" s="249"/>
      <c r="V24" s="1049"/>
      <c r="W24" s="1050"/>
    </row>
    <row r="25" spans="1:23" ht="15" customHeight="1" x14ac:dyDescent="0.25">
      <c r="A25" s="10">
        <v>1</v>
      </c>
      <c r="B25" s="731" t="str">
        <f>B8</f>
        <v>Equipe 1</v>
      </c>
      <c r="C25" s="1010"/>
      <c r="D25" s="103"/>
      <c r="E25" s="11">
        <v>1</v>
      </c>
      <c r="F25" s="727" t="str">
        <f>F8</f>
        <v>Equipe 5</v>
      </c>
      <c r="G25" s="1011"/>
      <c r="H25" s="85"/>
      <c r="I25" s="12">
        <v>1</v>
      </c>
      <c r="J25" s="800" t="str">
        <f>J8</f>
        <v>Equipe 9</v>
      </c>
      <c r="K25" s="1012"/>
      <c r="L25" s="85"/>
      <c r="M25" s="250"/>
      <c r="N25" s="1048"/>
      <c r="O25" s="1048"/>
      <c r="P25" s="85"/>
      <c r="Q25" s="230"/>
      <c r="R25" s="1048"/>
      <c r="S25" s="1048"/>
      <c r="T25" s="85"/>
      <c r="U25" s="230"/>
      <c r="V25" s="1048"/>
      <c r="W25" s="1051"/>
    </row>
    <row r="26" spans="1:23" ht="15" customHeight="1" x14ac:dyDescent="0.25">
      <c r="A26" s="10">
        <v>2</v>
      </c>
      <c r="B26" s="731" t="str">
        <f>F9</f>
        <v>Equipe 6</v>
      </c>
      <c r="C26" s="1010"/>
      <c r="D26" s="103"/>
      <c r="E26" s="11">
        <v>2</v>
      </c>
      <c r="F26" s="727" t="str">
        <f>J9</f>
        <v>Equipe 10</v>
      </c>
      <c r="G26" s="1011"/>
      <c r="H26" s="85"/>
      <c r="I26" s="12">
        <v>2</v>
      </c>
      <c r="J26" s="800" t="str">
        <f>B9</f>
        <v>Equipe 2</v>
      </c>
      <c r="K26" s="1012"/>
      <c r="L26" s="85"/>
      <c r="M26" s="250"/>
      <c r="N26" s="1048"/>
      <c r="O26" s="1048"/>
      <c r="P26" s="85"/>
      <c r="Q26" s="230"/>
      <c r="R26" s="1048"/>
      <c r="S26" s="1048"/>
      <c r="T26" s="85"/>
      <c r="U26" s="230"/>
      <c r="V26" s="1048"/>
      <c r="W26" s="1051"/>
    </row>
    <row r="27" spans="1:23" ht="15" customHeight="1" x14ac:dyDescent="0.25">
      <c r="A27" s="10">
        <v>3</v>
      </c>
      <c r="B27" s="731" t="str">
        <f>J10</f>
        <v>Equipe 11</v>
      </c>
      <c r="C27" s="1010"/>
      <c r="D27" s="103"/>
      <c r="E27" s="11">
        <v>3</v>
      </c>
      <c r="F27" s="727" t="str">
        <f>B10</f>
        <v>Equipe 3</v>
      </c>
      <c r="G27" s="1011"/>
      <c r="H27" s="85"/>
      <c r="I27" s="12">
        <v>3</v>
      </c>
      <c r="J27" s="800" t="str">
        <f>F10</f>
        <v>Equipe 7</v>
      </c>
      <c r="K27" s="1012"/>
      <c r="L27" s="85"/>
      <c r="M27" s="250"/>
      <c r="N27" s="1048"/>
      <c r="O27" s="1048"/>
      <c r="P27" s="85"/>
      <c r="Q27" s="230"/>
      <c r="R27" s="1048"/>
      <c r="S27" s="1048"/>
      <c r="T27" s="85"/>
      <c r="U27" s="230"/>
      <c r="V27" s="1048"/>
      <c r="W27" s="1051"/>
    </row>
    <row r="28" spans="1:23" ht="15" customHeight="1" thickBot="1" x14ac:dyDescent="0.3">
      <c r="A28" s="15">
        <v>4</v>
      </c>
      <c r="B28" s="717" t="str">
        <f>B11</f>
        <v>Equipe 4</v>
      </c>
      <c r="C28" s="1007"/>
      <c r="D28" s="103"/>
      <c r="E28" s="16">
        <v>4</v>
      </c>
      <c r="F28" s="721" t="str">
        <f>F11</f>
        <v>Equipe 8</v>
      </c>
      <c r="G28" s="1008"/>
      <c r="H28" s="85"/>
      <c r="I28" s="17">
        <v>4</v>
      </c>
      <c r="J28" s="792" t="str">
        <f>J11</f>
        <v>Equipe 12</v>
      </c>
      <c r="K28" s="1009"/>
      <c r="L28" s="85"/>
      <c r="M28" s="251"/>
      <c r="N28" s="1045"/>
      <c r="O28" s="1045"/>
      <c r="P28" s="89"/>
      <c r="Q28" s="93"/>
      <c r="R28" s="1045"/>
      <c r="S28" s="1045"/>
      <c r="T28" s="89"/>
      <c r="U28" s="93"/>
      <c r="V28" s="1045"/>
      <c r="W28" s="1046"/>
    </row>
    <row r="29" spans="1:23" ht="15" customHeight="1" thickBot="1" x14ac:dyDescent="0.3">
      <c r="A29" s="19"/>
      <c r="B29" s="2"/>
      <c r="C29" s="2"/>
      <c r="D29" s="2"/>
      <c r="E29" s="2"/>
      <c r="F29" s="2"/>
      <c r="G29" s="22"/>
      <c r="H29" s="85"/>
      <c r="I29" s="2"/>
      <c r="J29" s="2"/>
      <c r="K29" s="2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103"/>
    </row>
    <row r="30" spans="1:23" ht="15" customHeight="1" thickBot="1" x14ac:dyDescent="0.3">
      <c r="A30" s="780" t="s">
        <v>87</v>
      </c>
      <c r="B30" s="686"/>
      <c r="C30" s="686"/>
      <c r="D30" s="686"/>
      <c r="E30" s="686"/>
      <c r="F30" s="686"/>
      <c r="G30" s="686"/>
      <c r="H30" s="686"/>
      <c r="I30" s="686"/>
      <c r="J30" s="686"/>
      <c r="K30" s="686"/>
      <c r="L30" s="371"/>
      <c r="M30" s="671" t="s">
        <v>88</v>
      </c>
      <c r="N30" s="671"/>
      <c r="O30" s="671"/>
      <c r="P30" s="671"/>
      <c r="Q30" s="671"/>
      <c r="R30" s="671"/>
      <c r="S30" s="671"/>
      <c r="T30" s="671"/>
      <c r="U30" s="671"/>
      <c r="V30" s="671"/>
      <c r="W30" s="672"/>
    </row>
    <row r="31" spans="1:23" ht="15" customHeight="1" x14ac:dyDescent="0.25">
      <c r="A31" s="258"/>
      <c r="B31" s="1038" t="s">
        <v>5</v>
      </c>
      <c r="C31" s="1039"/>
      <c r="D31" s="25"/>
      <c r="E31" s="259"/>
      <c r="F31" s="1040" t="s">
        <v>5</v>
      </c>
      <c r="G31" s="1041"/>
      <c r="H31" s="99"/>
      <c r="I31" s="27"/>
      <c r="J31" s="786" t="s">
        <v>5</v>
      </c>
      <c r="K31" s="1042"/>
      <c r="L31" s="77"/>
      <c r="M31" s="237"/>
      <c r="N31" s="713" t="s">
        <v>5</v>
      </c>
      <c r="O31" s="714"/>
      <c r="P31" s="25"/>
      <c r="Q31" s="259"/>
      <c r="R31" s="1040" t="s">
        <v>5</v>
      </c>
      <c r="S31" s="1041"/>
      <c r="T31" s="102"/>
      <c r="U31" s="260"/>
      <c r="V31" s="1043" t="s">
        <v>5</v>
      </c>
      <c r="W31" s="1044"/>
    </row>
    <row r="32" spans="1:23" ht="15" customHeight="1" thickBot="1" x14ac:dyDescent="0.3">
      <c r="A32" s="38">
        <f>I21+N6+"00:02"+L5</f>
        <v>0.47916666666666646</v>
      </c>
      <c r="B32" s="39" t="str">
        <f>B25</f>
        <v>Equipe 1</v>
      </c>
      <c r="C32" s="252" t="str">
        <f>B26</f>
        <v>Equipe 6</v>
      </c>
      <c r="D32" s="2"/>
      <c r="E32" s="40">
        <f>A32+$N$6+"00:02"</f>
        <v>0.48611111111111088</v>
      </c>
      <c r="F32" s="41" t="str">
        <f>F25</f>
        <v>Equipe 5</v>
      </c>
      <c r="G32" s="253" t="str">
        <f>F26</f>
        <v>Equipe 10</v>
      </c>
      <c r="H32" s="85"/>
      <c r="I32" s="42">
        <f>E32+$N$6+"00:02"</f>
        <v>0.4930555555555553</v>
      </c>
      <c r="J32" s="43" t="str">
        <f>J25</f>
        <v>Equipe 9</v>
      </c>
      <c r="K32" s="370" t="str">
        <f>J26</f>
        <v>Equipe 2</v>
      </c>
      <c r="L32" s="76"/>
      <c r="M32" s="239">
        <f>A32</f>
        <v>0.47916666666666646</v>
      </c>
      <c r="N32" s="39" t="str">
        <f>B27</f>
        <v>Equipe 11</v>
      </c>
      <c r="O32" s="252" t="str">
        <f>B28</f>
        <v>Equipe 4</v>
      </c>
      <c r="P32" s="2"/>
      <c r="Q32" s="40">
        <f>E32</f>
        <v>0.48611111111111088</v>
      </c>
      <c r="R32" s="41" t="str">
        <f>F27</f>
        <v>Equipe 3</v>
      </c>
      <c r="S32" s="253" t="str">
        <f>F28</f>
        <v>Equipe 8</v>
      </c>
      <c r="T32" s="103"/>
      <c r="U32" s="42">
        <f>I32</f>
        <v>0.4930555555555553</v>
      </c>
      <c r="V32" s="43" t="str">
        <f>J27</f>
        <v>Equipe 7</v>
      </c>
      <c r="W32" s="204" t="str">
        <f>J28</f>
        <v>Equipe 12</v>
      </c>
    </row>
    <row r="33" spans="1:23" ht="15" customHeight="1" thickBot="1" x14ac:dyDescent="0.3">
      <c r="A33" s="19"/>
      <c r="B33" s="2"/>
      <c r="C33" s="2"/>
      <c r="D33" s="2"/>
      <c r="E33" s="2"/>
      <c r="F33" s="2"/>
      <c r="G33" s="47"/>
      <c r="H33" s="85"/>
      <c r="I33" s="2"/>
      <c r="J33" s="2"/>
      <c r="K33" s="2"/>
      <c r="L33" s="76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103"/>
    </row>
    <row r="34" spans="1:23" ht="15" customHeight="1" x14ac:dyDescent="0.25">
      <c r="A34" s="24"/>
      <c r="B34" s="713" t="s">
        <v>6</v>
      </c>
      <c r="C34" s="714"/>
      <c r="D34" s="25"/>
      <c r="E34" s="26"/>
      <c r="F34" s="715" t="s">
        <v>6</v>
      </c>
      <c r="G34" s="716"/>
      <c r="H34" s="99"/>
      <c r="I34" s="27"/>
      <c r="J34" s="786" t="s">
        <v>6</v>
      </c>
      <c r="K34" s="1042"/>
      <c r="L34" s="77"/>
      <c r="M34" s="237"/>
      <c r="N34" s="713" t="s">
        <v>6</v>
      </c>
      <c r="O34" s="714"/>
      <c r="P34" s="25"/>
      <c r="Q34" s="26"/>
      <c r="R34" s="715" t="s">
        <v>6</v>
      </c>
      <c r="S34" s="716"/>
      <c r="T34" s="102"/>
      <c r="U34" s="27"/>
      <c r="V34" s="786" t="s">
        <v>6</v>
      </c>
      <c r="W34" s="787"/>
    </row>
    <row r="35" spans="1:23" ht="15" customHeight="1" thickBot="1" x14ac:dyDescent="0.3">
      <c r="A35" s="38">
        <f>I32+$N$6+"00:02"</f>
        <v>0.49999999999999972</v>
      </c>
      <c r="B35" s="39" t="str">
        <f>B25</f>
        <v>Equipe 1</v>
      </c>
      <c r="C35" s="252" t="str">
        <f>B27</f>
        <v>Equipe 11</v>
      </c>
      <c r="D35" s="2"/>
      <c r="E35" s="40">
        <f>A35+$N$6+"00:02"</f>
        <v>0.5069444444444442</v>
      </c>
      <c r="F35" s="41" t="str">
        <f>F25</f>
        <v>Equipe 5</v>
      </c>
      <c r="G35" s="253" t="str">
        <f>F27</f>
        <v>Equipe 3</v>
      </c>
      <c r="H35" s="85"/>
      <c r="I35" s="42">
        <f>E35+$N$6+"00:02"</f>
        <v>0.51388888888888862</v>
      </c>
      <c r="J35" s="43" t="str">
        <f>J25</f>
        <v>Equipe 9</v>
      </c>
      <c r="K35" s="370" t="str">
        <f>J27</f>
        <v>Equipe 7</v>
      </c>
      <c r="L35" s="76"/>
      <c r="M35" s="239">
        <f>U32+$N$6+"00:02"</f>
        <v>0.49999999999999972</v>
      </c>
      <c r="N35" s="39" t="str">
        <f>B26</f>
        <v>Equipe 6</v>
      </c>
      <c r="O35" s="252" t="str">
        <f>B28</f>
        <v>Equipe 4</v>
      </c>
      <c r="P35" s="2"/>
      <c r="Q35" s="40">
        <f>M35+$N$6+"00:02"</f>
        <v>0.5069444444444442</v>
      </c>
      <c r="R35" s="41" t="str">
        <f>F26</f>
        <v>Equipe 10</v>
      </c>
      <c r="S35" s="253" t="str">
        <f>F28</f>
        <v>Equipe 8</v>
      </c>
      <c r="T35" s="103"/>
      <c r="U35" s="42">
        <f>Q35+$N$6+"00:02"</f>
        <v>0.51388888888888862</v>
      </c>
      <c r="V35" s="43" t="str">
        <f>J26</f>
        <v>Equipe 2</v>
      </c>
      <c r="W35" s="204" t="str">
        <f>J28</f>
        <v>Equipe 12</v>
      </c>
    </row>
    <row r="36" spans="1:23" ht="15" customHeight="1" thickBot="1" x14ac:dyDescent="0.3">
      <c r="A36" s="19"/>
      <c r="B36" s="2"/>
      <c r="C36" s="2"/>
      <c r="D36" s="2"/>
      <c r="E36" s="2"/>
      <c r="F36" s="2"/>
      <c r="G36" s="47"/>
      <c r="H36" s="85"/>
      <c r="I36" s="2"/>
      <c r="J36" s="2"/>
      <c r="K36" s="2"/>
      <c r="L36" s="76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3"/>
    </row>
    <row r="37" spans="1:23" ht="15" customHeight="1" x14ac:dyDescent="0.25">
      <c r="A37" s="24"/>
      <c r="B37" s="713" t="s">
        <v>7</v>
      </c>
      <c r="C37" s="713"/>
      <c r="D37" s="25"/>
      <c r="E37" s="26"/>
      <c r="F37" s="715" t="s">
        <v>7</v>
      </c>
      <c r="G37" s="715"/>
      <c r="H37" s="232"/>
      <c r="I37" s="27"/>
      <c r="J37" s="786" t="s">
        <v>7</v>
      </c>
      <c r="K37" s="1042"/>
      <c r="L37" s="77"/>
      <c r="M37" s="237"/>
      <c r="N37" s="713" t="s">
        <v>7</v>
      </c>
      <c r="O37" s="714"/>
      <c r="P37" s="25"/>
      <c r="Q37" s="26"/>
      <c r="R37" s="715" t="s">
        <v>7</v>
      </c>
      <c r="S37" s="715"/>
      <c r="T37" s="77"/>
      <c r="U37" s="27"/>
      <c r="V37" s="786" t="s">
        <v>7</v>
      </c>
      <c r="W37" s="787"/>
    </row>
    <row r="38" spans="1:23" ht="15" customHeight="1" thickBot="1" x14ac:dyDescent="0.3">
      <c r="A38" s="129">
        <f>I35+$N$6+"00:02"</f>
        <v>0.52083333333333304</v>
      </c>
      <c r="B38" s="130" t="str">
        <f>B25</f>
        <v>Equipe 1</v>
      </c>
      <c r="C38" s="130" t="str">
        <f>B28</f>
        <v>Equipe 4</v>
      </c>
      <c r="D38" s="2"/>
      <c r="E38" s="131">
        <f>A38+$N$6+"00:02"</f>
        <v>0.52777777777777746</v>
      </c>
      <c r="F38" s="132" t="str">
        <f>F25</f>
        <v>Equipe 5</v>
      </c>
      <c r="G38" s="132" t="str">
        <f>F28</f>
        <v>Equipe 8</v>
      </c>
      <c r="H38" s="231"/>
      <c r="I38" s="42">
        <f>E38+N23+"00:02"</f>
        <v>0.53472222222222188</v>
      </c>
      <c r="J38" s="43" t="str">
        <f>J25</f>
        <v>Equipe 9</v>
      </c>
      <c r="K38" s="370" t="str">
        <f>J28</f>
        <v>Equipe 12</v>
      </c>
      <c r="L38" s="78"/>
      <c r="M38" s="239">
        <f>U35+$N$6+"00:02"</f>
        <v>0.52083333333333304</v>
      </c>
      <c r="N38" s="39" t="str">
        <f>B26</f>
        <v>Equipe 6</v>
      </c>
      <c r="O38" s="252" t="str">
        <f>B27</f>
        <v>Equipe 11</v>
      </c>
      <c r="P38" s="2"/>
      <c r="Q38" s="131">
        <f>M38+$N$6+"00:02"</f>
        <v>0.52777777777777746</v>
      </c>
      <c r="R38" s="132" t="str">
        <f>F26</f>
        <v>Equipe 10</v>
      </c>
      <c r="S38" s="132" t="str">
        <f>F27</f>
        <v>Equipe 3</v>
      </c>
      <c r="T38" s="76"/>
      <c r="U38" s="133">
        <f>Q38+$N$6+"00:02"</f>
        <v>0.53472222222222188</v>
      </c>
      <c r="V38" s="134" t="str">
        <f>J26</f>
        <v>Equipe 2</v>
      </c>
      <c r="W38" s="254" t="str">
        <f>J27</f>
        <v>Equipe 7</v>
      </c>
    </row>
    <row r="39" spans="1:23" ht="15" customHeight="1" thickBot="1" x14ac:dyDescent="0.3">
      <c r="A39" s="1035"/>
      <c r="B39" s="1036"/>
      <c r="C39" s="1036"/>
      <c r="D39" s="1036"/>
      <c r="E39" s="1036"/>
      <c r="F39" s="1036"/>
      <c r="G39" s="1036"/>
      <c r="H39" s="1036"/>
      <c r="I39" s="697"/>
      <c r="J39" s="697"/>
      <c r="K39" s="697"/>
      <c r="L39" s="697"/>
      <c r="M39" s="697"/>
      <c r="N39" s="697"/>
      <c r="O39" s="697"/>
      <c r="P39" s="1036"/>
      <c r="Q39" s="1036"/>
      <c r="R39" s="1036"/>
      <c r="S39" s="1036"/>
      <c r="T39" s="1036"/>
      <c r="U39" s="1036"/>
      <c r="V39" s="1036"/>
      <c r="W39" s="1037"/>
    </row>
    <row r="40" spans="1:23" ht="15" customHeight="1" x14ac:dyDescent="0.25">
      <c r="W40" s="382" t="s">
        <v>170</v>
      </c>
    </row>
    <row r="41" spans="1:23" ht="15" customHeight="1" x14ac:dyDescent="0.25"/>
  </sheetData>
  <sheetProtection sheet="1" scenarios="1" selectLockedCells="1"/>
  <mergeCells count="111">
    <mergeCell ref="V1:W5"/>
    <mergeCell ref="J4:K4"/>
    <mergeCell ref="L4:M4"/>
    <mergeCell ref="I5:K5"/>
    <mergeCell ref="L5:M5"/>
    <mergeCell ref="B8:C8"/>
    <mergeCell ref="F8:G8"/>
    <mergeCell ref="J8:K8"/>
    <mergeCell ref="N8:O8"/>
    <mergeCell ref="R8:S8"/>
    <mergeCell ref="V8:W8"/>
    <mergeCell ref="A6:J6"/>
    <mergeCell ref="K6:M6"/>
    <mergeCell ref="A1:U1"/>
    <mergeCell ref="B7:C7"/>
    <mergeCell ref="F7:G7"/>
    <mergeCell ref="J7:K7"/>
    <mergeCell ref="N7:O7"/>
    <mergeCell ref="R7:S7"/>
    <mergeCell ref="V7:W7"/>
    <mergeCell ref="B10:C10"/>
    <mergeCell ref="F10:G10"/>
    <mergeCell ref="J10:K10"/>
    <mergeCell ref="N10:O10"/>
    <mergeCell ref="R10:S10"/>
    <mergeCell ref="V10:W10"/>
    <mergeCell ref="B9:C9"/>
    <mergeCell ref="F9:G9"/>
    <mergeCell ref="J9:K9"/>
    <mergeCell ref="N9:O9"/>
    <mergeCell ref="R9:S9"/>
    <mergeCell ref="V9:W9"/>
    <mergeCell ref="B14:C14"/>
    <mergeCell ref="F14:G14"/>
    <mergeCell ref="J14:K14"/>
    <mergeCell ref="N14:O14"/>
    <mergeCell ref="R14:S14"/>
    <mergeCell ref="V14:W14"/>
    <mergeCell ref="B11:C11"/>
    <mergeCell ref="F11:G11"/>
    <mergeCell ref="J11:K11"/>
    <mergeCell ref="N11:O11"/>
    <mergeCell ref="R11:S11"/>
    <mergeCell ref="V11:W11"/>
    <mergeCell ref="A13:K13"/>
    <mergeCell ref="M13:W13"/>
    <mergeCell ref="B20:C20"/>
    <mergeCell ref="F20:G20"/>
    <mergeCell ref="J20:K20"/>
    <mergeCell ref="N20:O20"/>
    <mergeCell ref="R20:S20"/>
    <mergeCell ref="V20:W20"/>
    <mergeCell ref="B17:C17"/>
    <mergeCell ref="F17:G17"/>
    <mergeCell ref="J17:K17"/>
    <mergeCell ref="N17:O17"/>
    <mergeCell ref="R17:S17"/>
    <mergeCell ref="V17:W17"/>
    <mergeCell ref="V24:W24"/>
    <mergeCell ref="A30:K30"/>
    <mergeCell ref="M30:W30"/>
    <mergeCell ref="B34:C34"/>
    <mergeCell ref="F34:G34"/>
    <mergeCell ref="J34:K34"/>
    <mergeCell ref="N34:O34"/>
    <mergeCell ref="R34:S34"/>
    <mergeCell ref="V34:W34"/>
    <mergeCell ref="R25:S25"/>
    <mergeCell ref="B24:C24"/>
    <mergeCell ref="F24:G24"/>
    <mergeCell ref="J24:K24"/>
    <mergeCell ref="N24:O24"/>
    <mergeCell ref="R24:S24"/>
    <mergeCell ref="R27:S27"/>
    <mergeCell ref="V27:W27"/>
    <mergeCell ref="V25:W25"/>
    <mergeCell ref="R26:S26"/>
    <mergeCell ref="V26:W26"/>
    <mergeCell ref="A23:J23"/>
    <mergeCell ref="K23:M23"/>
    <mergeCell ref="B25:C25"/>
    <mergeCell ref="F25:G25"/>
    <mergeCell ref="J25:K25"/>
    <mergeCell ref="N25:O25"/>
    <mergeCell ref="B37:C37"/>
    <mergeCell ref="F37:G37"/>
    <mergeCell ref="J37:K37"/>
    <mergeCell ref="N37:O37"/>
    <mergeCell ref="B27:C27"/>
    <mergeCell ref="F27:G27"/>
    <mergeCell ref="J27:K27"/>
    <mergeCell ref="N27:O27"/>
    <mergeCell ref="B26:C26"/>
    <mergeCell ref="F26:G26"/>
    <mergeCell ref="J26:K26"/>
    <mergeCell ref="N26:O26"/>
    <mergeCell ref="A39:W39"/>
    <mergeCell ref="B31:C31"/>
    <mergeCell ref="F31:G31"/>
    <mergeCell ref="J31:K31"/>
    <mergeCell ref="N31:O31"/>
    <mergeCell ref="R31:S31"/>
    <mergeCell ref="V31:W31"/>
    <mergeCell ref="B28:C28"/>
    <mergeCell ref="F28:G28"/>
    <mergeCell ref="J28:K28"/>
    <mergeCell ref="N28:O28"/>
    <mergeCell ref="R28:S28"/>
    <mergeCell ref="V28:W28"/>
    <mergeCell ref="R37:S37"/>
    <mergeCell ref="V37:W3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1" orientation="landscape" horizontalDpi="300" verticalDpi="300" r:id="rId1"/>
  <ignoredErrors>
    <ignoredError sqref="B25:K28" unlockedFormula="1"/>
  </ignoredError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7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176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690"/>
      <c r="V1" s="691"/>
      <c r="W1" s="692"/>
    </row>
    <row r="2" spans="1:23" ht="24.95" customHeight="1" x14ac:dyDescent="0.25">
      <c r="A2" s="262" t="s">
        <v>177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693"/>
      <c r="V2" s="694"/>
      <c r="W2" s="695"/>
    </row>
    <row r="3" spans="1:23" ht="24.95" customHeight="1" thickBot="1" x14ac:dyDescent="0.3">
      <c r="A3" s="263" t="s">
        <v>174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693"/>
      <c r="V3" s="694"/>
      <c r="W3" s="695"/>
    </row>
    <row r="4" spans="1:23" ht="24.95" customHeight="1" thickBot="1" x14ac:dyDescent="0.3">
      <c r="A4" s="263" t="s">
        <v>52</v>
      </c>
      <c r="B4" s="311"/>
      <c r="C4" s="311"/>
      <c r="D4" s="311"/>
      <c r="E4" s="1055">
        <v>0.35416666666666669</v>
      </c>
      <c r="F4" s="1056"/>
      <c r="G4" s="1057"/>
      <c r="H4" s="279"/>
      <c r="I4" s="737" t="s">
        <v>54</v>
      </c>
      <c r="J4" s="737"/>
      <c r="K4" s="737"/>
      <c r="L4" s="742">
        <f>(3*J6)+(3*J27)</f>
        <v>3.3333333333333333E-2</v>
      </c>
      <c r="M4" s="742"/>
      <c r="N4" s="318" t="s">
        <v>33</v>
      </c>
      <c r="O4" s="319"/>
      <c r="P4" s="200"/>
      <c r="Q4" s="200"/>
      <c r="R4" s="200"/>
      <c r="S4" s="200"/>
      <c r="T4" s="201"/>
      <c r="U4" s="693"/>
      <c r="V4" s="694"/>
      <c r="W4" s="695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S45-A15+J27+"00:02"</f>
        <v>0.16666666666666616</v>
      </c>
      <c r="F5" s="810"/>
      <c r="G5" s="810"/>
      <c r="H5" s="215"/>
      <c r="I5" s="216" t="s">
        <v>79</v>
      </c>
      <c r="J5" s="216"/>
      <c r="K5" s="216"/>
      <c r="L5" s="687">
        <v>0</v>
      </c>
      <c r="M5" s="688"/>
      <c r="N5" s="216"/>
      <c r="O5" s="47"/>
      <c r="P5" s="47"/>
      <c r="Q5" s="47"/>
      <c r="R5" s="47"/>
      <c r="S5" s="47"/>
      <c r="T5" s="320"/>
      <c r="U5" s="696"/>
      <c r="V5" s="697"/>
      <c r="W5" s="698"/>
    </row>
    <row r="6" spans="1:23" ht="16.5" thickBot="1" x14ac:dyDescent="0.3">
      <c r="A6" s="701" t="s">
        <v>84</v>
      </c>
      <c r="B6" s="685"/>
      <c r="C6" s="685"/>
      <c r="D6" s="685"/>
      <c r="E6" s="685"/>
      <c r="F6" s="685"/>
      <c r="G6" s="685"/>
      <c r="H6" s="685"/>
      <c r="I6" s="126" t="s">
        <v>18</v>
      </c>
      <c r="J6" s="782">
        <v>5.5555555555555558E-3</v>
      </c>
      <c r="K6" s="782"/>
      <c r="L6" s="782"/>
      <c r="M6" s="128" t="s">
        <v>17</v>
      </c>
      <c r="N6" s="126"/>
      <c r="O6" s="686"/>
      <c r="P6" s="686"/>
      <c r="Q6" s="686"/>
      <c r="R6" s="686"/>
      <c r="S6" s="686"/>
      <c r="T6" s="686"/>
      <c r="U6" s="686"/>
      <c r="V6" s="686"/>
      <c r="W6" s="781"/>
    </row>
    <row r="7" spans="1:23" ht="16.5" thickBot="1" x14ac:dyDescent="0.3">
      <c r="A7" s="780" t="s">
        <v>87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372"/>
      <c r="M7" s="686" t="s">
        <v>88</v>
      </c>
      <c r="N7" s="686"/>
      <c r="O7" s="686"/>
      <c r="P7" s="686"/>
      <c r="Q7" s="686"/>
      <c r="R7" s="686"/>
      <c r="S7" s="686"/>
      <c r="T7" s="686"/>
      <c r="U7" s="686"/>
      <c r="V7" s="686"/>
      <c r="W7" s="781"/>
    </row>
    <row r="8" spans="1:23" x14ac:dyDescent="0.25">
      <c r="A8" s="6"/>
      <c r="B8" s="744" t="s">
        <v>41</v>
      </c>
      <c r="C8" s="745"/>
      <c r="D8" s="745"/>
      <c r="E8" s="746"/>
      <c r="F8" s="102"/>
      <c r="G8" s="7"/>
      <c r="H8" s="747" t="s">
        <v>42</v>
      </c>
      <c r="I8" s="748"/>
      <c r="J8" s="982"/>
      <c r="K8" s="1021"/>
      <c r="L8" s="76"/>
      <c r="M8" s="356"/>
      <c r="N8" s="804" t="s">
        <v>43</v>
      </c>
      <c r="O8" s="805"/>
      <c r="P8" s="986"/>
      <c r="Q8" s="987"/>
      <c r="R8" s="2"/>
      <c r="S8" s="9"/>
      <c r="T8" s="807" t="s">
        <v>55</v>
      </c>
      <c r="U8" s="808"/>
      <c r="V8" s="966"/>
      <c r="W8" s="967"/>
    </row>
    <row r="9" spans="1:23" x14ac:dyDescent="0.25">
      <c r="A9" s="10">
        <v>1</v>
      </c>
      <c r="B9" s="731" t="s">
        <v>22</v>
      </c>
      <c r="C9" s="732"/>
      <c r="D9" s="1023"/>
      <c r="E9" s="1024"/>
      <c r="F9" s="103"/>
      <c r="G9" s="11">
        <v>1</v>
      </c>
      <c r="H9" s="727" t="s">
        <v>26</v>
      </c>
      <c r="I9" s="728"/>
      <c r="J9" s="982"/>
      <c r="K9" s="1021"/>
      <c r="L9" s="76"/>
      <c r="M9" s="357">
        <v>1</v>
      </c>
      <c r="N9" s="800" t="s">
        <v>37</v>
      </c>
      <c r="O9" s="801"/>
      <c r="P9" s="988"/>
      <c r="Q9" s="989"/>
      <c r="R9" s="2"/>
      <c r="S9" s="13">
        <v>1</v>
      </c>
      <c r="T9" s="796" t="s">
        <v>56</v>
      </c>
      <c r="U9" s="797"/>
      <c r="V9" s="968"/>
      <c r="W9" s="969"/>
    </row>
    <row r="10" spans="1:23" x14ac:dyDescent="0.25">
      <c r="A10" s="10">
        <v>2</v>
      </c>
      <c r="B10" s="731" t="s">
        <v>23</v>
      </c>
      <c r="C10" s="732"/>
      <c r="D10" s="1025"/>
      <c r="E10" s="1026"/>
      <c r="F10" s="103"/>
      <c r="G10" s="11">
        <v>2</v>
      </c>
      <c r="H10" s="727" t="s">
        <v>27</v>
      </c>
      <c r="I10" s="728"/>
      <c r="J10" s="982"/>
      <c r="K10" s="1021"/>
      <c r="L10" s="76"/>
      <c r="M10" s="357">
        <v>2</v>
      </c>
      <c r="N10" s="800" t="s">
        <v>38</v>
      </c>
      <c r="O10" s="801"/>
      <c r="P10" s="988"/>
      <c r="Q10" s="989"/>
      <c r="R10" s="2"/>
      <c r="S10" s="13">
        <v>2</v>
      </c>
      <c r="T10" s="796" t="s">
        <v>57</v>
      </c>
      <c r="U10" s="797"/>
      <c r="V10" s="968"/>
      <c r="W10" s="969"/>
    </row>
    <row r="11" spans="1:23" x14ac:dyDescent="0.25">
      <c r="A11" s="10">
        <v>3</v>
      </c>
      <c r="B11" s="731" t="s">
        <v>24</v>
      </c>
      <c r="C11" s="732"/>
      <c r="D11" s="1025"/>
      <c r="E11" s="1026"/>
      <c r="F11" s="103"/>
      <c r="G11" s="11">
        <v>3</v>
      </c>
      <c r="H11" s="727" t="s">
        <v>28</v>
      </c>
      <c r="I11" s="728"/>
      <c r="J11" s="982"/>
      <c r="K11" s="1021"/>
      <c r="L11" s="76"/>
      <c r="M11" s="357">
        <v>3</v>
      </c>
      <c r="N11" s="800" t="s">
        <v>39</v>
      </c>
      <c r="O11" s="801"/>
      <c r="P11" s="988"/>
      <c r="Q11" s="989"/>
      <c r="R11" s="2"/>
      <c r="S11" s="13">
        <v>3</v>
      </c>
      <c r="T11" s="796" t="s">
        <v>58</v>
      </c>
      <c r="U11" s="797"/>
      <c r="V11" s="968"/>
      <c r="W11" s="969"/>
    </row>
    <row r="12" spans="1:23" ht="15.75" thickBot="1" x14ac:dyDescent="0.3">
      <c r="A12" s="15">
        <v>4</v>
      </c>
      <c r="B12" s="717" t="s">
        <v>25</v>
      </c>
      <c r="C12" s="718"/>
      <c r="D12" s="1027"/>
      <c r="E12" s="1028"/>
      <c r="F12" s="103"/>
      <c r="G12" s="16">
        <v>4</v>
      </c>
      <c r="H12" s="721" t="s">
        <v>29</v>
      </c>
      <c r="I12" s="722"/>
      <c r="J12" s="984"/>
      <c r="K12" s="1022"/>
      <c r="L12" s="76"/>
      <c r="M12" s="359">
        <v>4</v>
      </c>
      <c r="N12" s="792" t="s">
        <v>40</v>
      </c>
      <c r="O12" s="793"/>
      <c r="P12" s="990"/>
      <c r="Q12" s="991"/>
      <c r="R12" s="2"/>
      <c r="S12" s="18">
        <v>4</v>
      </c>
      <c r="T12" s="788" t="s">
        <v>59</v>
      </c>
      <c r="U12" s="789"/>
      <c r="V12" s="970"/>
      <c r="W12" s="971"/>
    </row>
    <row r="13" spans="1:23" ht="5.0999999999999996" customHeight="1" thickBot="1" x14ac:dyDescent="0.3">
      <c r="A13" s="19"/>
      <c r="B13" s="2"/>
      <c r="C13" s="2"/>
      <c r="D13" s="2"/>
      <c r="E13" s="2"/>
      <c r="F13" s="2"/>
      <c r="G13" s="2"/>
      <c r="H13" s="2"/>
      <c r="I13" s="22"/>
      <c r="J13" s="2"/>
      <c r="K13" s="2"/>
      <c r="L13" s="76"/>
      <c r="M13" s="2"/>
      <c r="N13" s="2"/>
      <c r="O13" s="2"/>
      <c r="P13" s="2"/>
      <c r="Q13" s="2"/>
      <c r="R13" s="2"/>
      <c r="S13" s="2"/>
      <c r="T13" s="2"/>
      <c r="U13" s="2"/>
      <c r="V13" s="2"/>
      <c r="W13" s="21"/>
    </row>
    <row r="14" spans="1:23" s="29" customFormat="1" x14ac:dyDescent="0.25">
      <c r="A14" s="24"/>
      <c r="B14" s="713" t="s">
        <v>5</v>
      </c>
      <c r="C14" s="713"/>
      <c r="D14" s="950"/>
      <c r="E14" s="951"/>
      <c r="F14" s="25"/>
      <c r="G14" s="26"/>
      <c r="H14" s="715" t="s">
        <v>5</v>
      </c>
      <c r="I14" s="715"/>
      <c r="J14" s="954"/>
      <c r="K14" s="1018"/>
      <c r="L14" s="77"/>
      <c r="M14" s="360"/>
      <c r="N14" s="786" t="s">
        <v>5</v>
      </c>
      <c r="O14" s="786"/>
      <c r="P14" s="960"/>
      <c r="Q14" s="961"/>
      <c r="R14" s="25"/>
      <c r="S14" s="28"/>
      <c r="T14" s="784" t="s">
        <v>5</v>
      </c>
      <c r="U14" s="784"/>
      <c r="V14" s="941"/>
      <c r="W14" s="942"/>
    </row>
    <row r="15" spans="1:23" x14ac:dyDescent="0.25">
      <c r="A15" s="30">
        <f>E4</f>
        <v>0.35416666666666669</v>
      </c>
      <c r="B15" s="31" t="str">
        <f>B9</f>
        <v>Equipe 1</v>
      </c>
      <c r="C15" s="31" t="str">
        <f>B10</f>
        <v>Equipe 2</v>
      </c>
      <c r="D15" s="952"/>
      <c r="E15" s="953"/>
      <c r="F15" s="2"/>
      <c r="G15" s="32">
        <f>A16+$J$6+"00:02"</f>
        <v>0.36805555555555552</v>
      </c>
      <c r="H15" s="33" t="str">
        <f>H9</f>
        <v>Equipe 5</v>
      </c>
      <c r="I15" s="33" t="str">
        <f>H10</f>
        <v>Equipe 6</v>
      </c>
      <c r="J15" s="956"/>
      <c r="K15" s="1019"/>
      <c r="L15" s="76"/>
      <c r="M15" s="361">
        <f>E4</f>
        <v>0.35416666666666669</v>
      </c>
      <c r="N15" s="35" t="str">
        <f>N9</f>
        <v>Equipe 9</v>
      </c>
      <c r="O15" s="35" t="str">
        <f>N10</f>
        <v>Equipe 10</v>
      </c>
      <c r="P15" s="962"/>
      <c r="Q15" s="963"/>
      <c r="R15" s="2"/>
      <c r="S15" s="36">
        <f>M16+$J$6+"00:02"</f>
        <v>0.36805555555555552</v>
      </c>
      <c r="T15" s="37" t="str">
        <f>T9</f>
        <v>Equipe 13</v>
      </c>
      <c r="U15" s="37" t="str">
        <f>T10</f>
        <v>Equipe 14</v>
      </c>
      <c r="V15" s="943"/>
      <c r="W15" s="944"/>
    </row>
    <row r="16" spans="1:23" ht="15.75" thickBot="1" x14ac:dyDescent="0.3">
      <c r="A16" s="38">
        <f>A15+$J$6+"00:02"</f>
        <v>0.3611111111111111</v>
      </c>
      <c r="B16" s="39" t="str">
        <f>B11</f>
        <v>Equipe 3</v>
      </c>
      <c r="C16" s="39" t="str">
        <f>B12</f>
        <v>Equipe 4</v>
      </c>
      <c r="D16" s="972"/>
      <c r="E16" s="973"/>
      <c r="F16" s="2"/>
      <c r="G16" s="40">
        <f>G15+$J$6+"00:02"</f>
        <v>0.37499999999999994</v>
      </c>
      <c r="H16" s="41" t="str">
        <f>H11</f>
        <v>Equipe 7</v>
      </c>
      <c r="I16" s="41" t="str">
        <f>H12</f>
        <v>Equipe 8</v>
      </c>
      <c r="J16" s="958"/>
      <c r="K16" s="1020"/>
      <c r="L16" s="76"/>
      <c r="M16" s="362">
        <f>M15+$J$6+"00:02"</f>
        <v>0.3611111111111111</v>
      </c>
      <c r="N16" s="43" t="str">
        <f>N11</f>
        <v>Equipe 11</v>
      </c>
      <c r="O16" s="43" t="str">
        <f>N12</f>
        <v>Equipe 12</v>
      </c>
      <c r="P16" s="964"/>
      <c r="Q16" s="965"/>
      <c r="R16" s="2"/>
      <c r="S16" s="44">
        <f>S15+$J$6+"00:02"</f>
        <v>0.37499999999999994</v>
      </c>
      <c r="T16" s="45" t="str">
        <f>T11</f>
        <v>Equipe 15</v>
      </c>
      <c r="U16" s="45" t="str">
        <f>T12</f>
        <v>Equipe 16</v>
      </c>
      <c r="V16" s="945"/>
      <c r="W16" s="946"/>
    </row>
    <row r="17" spans="1:24" ht="5.0999999999999996" customHeight="1" thickBot="1" x14ac:dyDescent="0.3">
      <c r="A17" s="19"/>
      <c r="B17" s="2"/>
      <c r="C17" s="2"/>
      <c r="D17" s="183"/>
      <c r="E17" s="183"/>
      <c r="F17" s="2"/>
      <c r="G17" s="2"/>
      <c r="H17" s="2"/>
      <c r="I17" s="47"/>
      <c r="J17" s="183"/>
      <c r="K17" s="183"/>
      <c r="L17" s="76"/>
      <c r="M17" s="2"/>
      <c r="N17" s="2"/>
      <c r="O17" s="2"/>
      <c r="P17" s="183"/>
      <c r="Q17" s="183"/>
      <c r="R17" s="2"/>
      <c r="S17" s="2"/>
      <c r="T17" s="2"/>
      <c r="U17" s="2"/>
      <c r="V17" s="183"/>
      <c r="W17" s="48"/>
    </row>
    <row r="18" spans="1:24" s="29" customFormat="1" x14ac:dyDescent="0.25">
      <c r="A18" s="24"/>
      <c r="B18" s="713" t="s">
        <v>6</v>
      </c>
      <c r="C18" s="713"/>
      <c r="D18" s="950"/>
      <c r="E18" s="951"/>
      <c r="F18" s="25"/>
      <c r="G18" s="26"/>
      <c r="H18" s="715" t="s">
        <v>6</v>
      </c>
      <c r="I18" s="715"/>
      <c r="J18" s="954"/>
      <c r="K18" s="1018"/>
      <c r="L18" s="77"/>
      <c r="M18" s="360"/>
      <c r="N18" s="786" t="s">
        <v>6</v>
      </c>
      <c r="O18" s="786"/>
      <c r="P18" s="960"/>
      <c r="Q18" s="961"/>
      <c r="R18" s="25"/>
      <c r="S18" s="28"/>
      <c r="T18" s="784" t="s">
        <v>6</v>
      </c>
      <c r="U18" s="784"/>
      <c r="V18" s="941"/>
      <c r="W18" s="942"/>
    </row>
    <row r="19" spans="1:24" x14ac:dyDescent="0.25">
      <c r="A19" s="30">
        <f>S16+$J$6+"00:02"</f>
        <v>0.38194444444444436</v>
      </c>
      <c r="B19" s="31" t="str">
        <f>B9</f>
        <v>Equipe 1</v>
      </c>
      <c r="C19" s="31" t="str">
        <f>B11</f>
        <v>Equipe 3</v>
      </c>
      <c r="D19" s="952"/>
      <c r="E19" s="953"/>
      <c r="F19" s="2"/>
      <c r="G19" s="32">
        <f>A20+$J$6+"00:02"</f>
        <v>0.3958333333333332</v>
      </c>
      <c r="H19" s="33" t="str">
        <f>H9</f>
        <v>Equipe 5</v>
      </c>
      <c r="I19" s="33" t="str">
        <f>H11</f>
        <v>Equipe 7</v>
      </c>
      <c r="J19" s="956"/>
      <c r="K19" s="1019"/>
      <c r="L19" s="76"/>
      <c r="M19" s="361">
        <f>S16+$J$6+"00:02"</f>
        <v>0.38194444444444436</v>
      </c>
      <c r="N19" s="35" t="str">
        <f>N9</f>
        <v>Equipe 9</v>
      </c>
      <c r="O19" s="35" t="str">
        <f>N11</f>
        <v>Equipe 11</v>
      </c>
      <c r="P19" s="962"/>
      <c r="Q19" s="963"/>
      <c r="R19" s="2"/>
      <c r="S19" s="36">
        <f>M20+$J$6+"00:02"</f>
        <v>0.3958333333333332</v>
      </c>
      <c r="T19" s="37" t="str">
        <f>T9</f>
        <v>Equipe 13</v>
      </c>
      <c r="U19" s="37" t="str">
        <f>T11</f>
        <v>Equipe 15</v>
      </c>
      <c r="V19" s="943"/>
      <c r="W19" s="944"/>
    </row>
    <row r="20" spans="1:24" ht="15.75" thickBot="1" x14ac:dyDescent="0.3">
      <c r="A20" s="38">
        <f>A19+$J$6+"00:02"</f>
        <v>0.38888888888888878</v>
      </c>
      <c r="B20" s="39" t="str">
        <f>B10</f>
        <v>Equipe 2</v>
      </c>
      <c r="C20" s="39" t="str">
        <f>B12</f>
        <v>Equipe 4</v>
      </c>
      <c r="D20" s="972"/>
      <c r="E20" s="973"/>
      <c r="F20" s="2"/>
      <c r="G20" s="40">
        <f>G19+$J$6+"00:02"</f>
        <v>0.40277777777777762</v>
      </c>
      <c r="H20" s="41" t="str">
        <f>H10</f>
        <v>Equipe 6</v>
      </c>
      <c r="I20" s="41" t="str">
        <f>H12</f>
        <v>Equipe 8</v>
      </c>
      <c r="J20" s="958"/>
      <c r="K20" s="1020"/>
      <c r="L20" s="76"/>
      <c r="M20" s="362">
        <f>M19+$J$6+"00:02"</f>
        <v>0.38888888888888878</v>
      </c>
      <c r="N20" s="43" t="str">
        <f>N10</f>
        <v>Equipe 10</v>
      </c>
      <c r="O20" s="43" t="str">
        <f>N12</f>
        <v>Equipe 12</v>
      </c>
      <c r="P20" s="964"/>
      <c r="Q20" s="965"/>
      <c r="R20" s="2"/>
      <c r="S20" s="44">
        <f>S19+$J$6+"00:02"</f>
        <v>0.40277777777777762</v>
      </c>
      <c r="T20" s="45" t="str">
        <f>T10</f>
        <v>Equipe 14</v>
      </c>
      <c r="U20" s="45" t="str">
        <f>T12</f>
        <v>Equipe 16</v>
      </c>
      <c r="V20" s="945"/>
      <c r="W20" s="946"/>
    </row>
    <row r="21" spans="1:24" ht="5.0999999999999996" customHeight="1" thickBot="1" x14ac:dyDescent="0.3">
      <c r="A21" s="19"/>
      <c r="B21" s="2"/>
      <c r="C21" s="2"/>
      <c r="D21" s="183"/>
      <c r="E21" s="183"/>
      <c r="F21" s="2"/>
      <c r="G21" s="2"/>
      <c r="H21" s="2"/>
      <c r="I21" s="47"/>
      <c r="J21" s="183"/>
      <c r="K21" s="183"/>
      <c r="L21" s="76"/>
      <c r="M21" s="2"/>
      <c r="N21" s="2"/>
      <c r="O21" s="2"/>
      <c r="P21" s="183"/>
      <c r="Q21" s="183"/>
      <c r="R21" s="2"/>
      <c r="S21" s="2"/>
      <c r="T21" s="2"/>
      <c r="U21" s="2"/>
      <c r="V21" s="183"/>
      <c r="W21" s="48"/>
    </row>
    <row r="22" spans="1:24" s="29" customFormat="1" x14ac:dyDescent="0.25">
      <c r="A22" s="24"/>
      <c r="B22" s="713" t="s">
        <v>7</v>
      </c>
      <c r="C22" s="713"/>
      <c r="D22" s="950"/>
      <c r="E22" s="951"/>
      <c r="F22" s="25"/>
      <c r="G22" s="26"/>
      <c r="H22" s="715" t="s">
        <v>7</v>
      </c>
      <c r="I22" s="715"/>
      <c r="J22" s="954"/>
      <c r="K22" s="1018"/>
      <c r="L22" s="77"/>
      <c r="M22" s="360"/>
      <c r="N22" s="786" t="s">
        <v>7</v>
      </c>
      <c r="O22" s="786"/>
      <c r="P22" s="960"/>
      <c r="Q22" s="961"/>
      <c r="R22" s="25"/>
      <c r="S22" s="28"/>
      <c r="T22" s="784" t="s">
        <v>7</v>
      </c>
      <c r="U22" s="784"/>
      <c r="V22" s="941"/>
      <c r="W22" s="942"/>
    </row>
    <row r="23" spans="1:24" x14ac:dyDescent="0.25">
      <c r="A23" s="30">
        <f>S20+$J$6+"00:02"</f>
        <v>0.40972222222222204</v>
      </c>
      <c r="B23" s="31" t="str">
        <f>B9</f>
        <v>Equipe 1</v>
      </c>
      <c r="C23" s="31" t="str">
        <f>B12</f>
        <v>Equipe 4</v>
      </c>
      <c r="D23" s="952"/>
      <c r="E23" s="953"/>
      <c r="F23" s="2"/>
      <c r="G23" s="32">
        <f>A24+$J$6+"00:02"</f>
        <v>0.42361111111111088</v>
      </c>
      <c r="H23" s="33" t="str">
        <f>H9</f>
        <v>Equipe 5</v>
      </c>
      <c r="I23" s="33" t="str">
        <f>H12</f>
        <v>Equipe 8</v>
      </c>
      <c r="J23" s="956"/>
      <c r="K23" s="1019"/>
      <c r="L23" s="76"/>
      <c r="M23" s="361">
        <f>S20+$J$6+"00:02"</f>
        <v>0.40972222222222204</v>
      </c>
      <c r="N23" s="35" t="str">
        <f>N9</f>
        <v>Equipe 9</v>
      </c>
      <c r="O23" s="35" t="str">
        <f>N12</f>
        <v>Equipe 12</v>
      </c>
      <c r="P23" s="962"/>
      <c r="Q23" s="963"/>
      <c r="R23" s="2"/>
      <c r="S23" s="36">
        <f>M24+$J$6+"00:02"</f>
        <v>0.42361111111111088</v>
      </c>
      <c r="T23" s="37" t="str">
        <f>T9</f>
        <v>Equipe 13</v>
      </c>
      <c r="U23" s="37" t="str">
        <f>T12</f>
        <v>Equipe 16</v>
      </c>
      <c r="V23" s="943"/>
      <c r="W23" s="944"/>
    </row>
    <row r="24" spans="1:24" ht="15.75" thickBot="1" x14ac:dyDescent="0.3">
      <c r="A24" s="38">
        <f>A23+$J$6+"00:02"</f>
        <v>0.41666666666666646</v>
      </c>
      <c r="B24" s="39" t="str">
        <f>B10</f>
        <v>Equipe 2</v>
      </c>
      <c r="C24" s="39" t="str">
        <f>B11</f>
        <v>Equipe 3</v>
      </c>
      <c r="D24" s="972"/>
      <c r="E24" s="973"/>
      <c r="F24" s="47"/>
      <c r="G24" s="40">
        <f>G23+$J$6+"00:02"</f>
        <v>0.4305555555555553</v>
      </c>
      <c r="H24" s="41" t="str">
        <f>H10</f>
        <v>Equipe 6</v>
      </c>
      <c r="I24" s="41" t="str">
        <f>H11</f>
        <v>Equipe 7</v>
      </c>
      <c r="J24" s="958"/>
      <c r="K24" s="1020"/>
      <c r="L24" s="78"/>
      <c r="M24" s="362">
        <f>M23+$J$6+"00:02"</f>
        <v>0.41666666666666646</v>
      </c>
      <c r="N24" s="43" t="str">
        <f>N10</f>
        <v>Equipe 10</v>
      </c>
      <c r="O24" s="43" t="str">
        <f>N11</f>
        <v>Equipe 11</v>
      </c>
      <c r="P24" s="964"/>
      <c r="Q24" s="965"/>
      <c r="R24" s="47"/>
      <c r="S24" s="44">
        <f>S23+$J$6+"00:02"</f>
        <v>0.4305555555555553</v>
      </c>
      <c r="T24" s="45" t="str">
        <f>T10</f>
        <v>Equipe 14</v>
      </c>
      <c r="U24" s="45" t="str">
        <f>T11</f>
        <v>Equipe 15</v>
      </c>
      <c r="V24" s="945"/>
      <c r="W24" s="946"/>
    </row>
    <row r="25" spans="1:24" ht="5.0999999999999996" customHeight="1" thickBot="1" x14ac:dyDescent="0.3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73"/>
      <c r="L25" s="89"/>
      <c r="M25" s="120"/>
      <c r="N25" s="119"/>
      <c r="O25" s="119"/>
      <c r="P25" s="173"/>
      <c r="Q25" s="173"/>
      <c r="R25" s="89"/>
      <c r="S25" s="93"/>
      <c r="T25" s="115"/>
      <c r="U25" s="115"/>
      <c r="V25" s="116"/>
      <c r="W25" s="117"/>
    </row>
    <row r="26" spans="1:24" ht="24.95" customHeight="1" thickBot="1" x14ac:dyDescent="0.3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4"/>
    </row>
    <row r="27" spans="1:24" ht="16.350000000000001" customHeight="1" thickBot="1" x14ac:dyDescent="0.3">
      <c r="A27" s="701" t="s">
        <v>83</v>
      </c>
      <c r="B27" s="685"/>
      <c r="C27" s="685"/>
      <c r="D27" s="685"/>
      <c r="E27" s="685"/>
      <c r="F27" s="685"/>
      <c r="G27" s="685"/>
      <c r="H27" s="685"/>
      <c r="I27" s="126" t="s">
        <v>18</v>
      </c>
      <c r="J27" s="782">
        <v>5.5555555555555558E-3</v>
      </c>
      <c r="K27" s="782"/>
      <c r="L27" s="782"/>
      <c r="M27" s="128" t="s">
        <v>17</v>
      </c>
      <c r="N27" s="126"/>
      <c r="O27" s="686"/>
      <c r="P27" s="686"/>
      <c r="Q27" s="686"/>
      <c r="R27" s="686"/>
      <c r="S27" s="686"/>
      <c r="T27" s="686"/>
      <c r="U27" s="686"/>
      <c r="V27" s="686"/>
      <c r="W27" s="781"/>
      <c r="X27" s="74"/>
    </row>
    <row r="28" spans="1:24" ht="16.350000000000001" customHeight="1" thickBot="1" x14ac:dyDescent="0.3">
      <c r="A28" s="780" t="s">
        <v>87</v>
      </c>
      <c r="B28" s="686"/>
      <c r="C28" s="686"/>
      <c r="D28" s="686"/>
      <c r="E28" s="686"/>
      <c r="F28" s="686"/>
      <c r="G28" s="686"/>
      <c r="H28" s="686"/>
      <c r="I28" s="686"/>
      <c r="J28" s="686"/>
      <c r="K28" s="686"/>
      <c r="L28" s="372"/>
      <c r="M28" s="686" t="s">
        <v>88</v>
      </c>
      <c r="N28" s="686"/>
      <c r="O28" s="686"/>
      <c r="P28" s="686"/>
      <c r="Q28" s="686"/>
      <c r="R28" s="686"/>
      <c r="S28" s="686"/>
      <c r="T28" s="686"/>
      <c r="U28" s="686"/>
      <c r="V28" s="686"/>
      <c r="W28" s="781"/>
      <c r="X28" s="74"/>
    </row>
    <row r="29" spans="1:24" ht="14.45" customHeight="1" x14ac:dyDescent="0.25">
      <c r="A29" s="6"/>
      <c r="B29" s="744" t="s">
        <v>41</v>
      </c>
      <c r="C29" s="745"/>
      <c r="D29" s="976"/>
      <c r="E29" s="977"/>
      <c r="F29" s="102"/>
      <c r="G29" s="7"/>
      <c r="H29" s="747" t="s">
        <v>42</v>
      </c>
      <c r="I29" s="748"/>
      <c r="J29" s="209"/>
      <c r="K29" s="373"/>
      <c r="L29" s="76"/>
      <c r="M29" s="375"/>
      <c r="N29" s="852" t="s">
        <v>43</v>
      </c>
      <c r="O29" s="937"/>
      <c r="P29" s="986"/>
      <c r="Q29" s="987"/>
      <c r="R29" s="2"/>
      <c r="S29" s="83"/>
      <c r="T29" s="850" t="s">
        <v>55</v>
      </c>
      <c r="U29" s="938"/>
      <c r="V29" s="966"/>
      <c r="W29" s="967"/>
    </row>
    <row r="30" spans="1:24" ht="14.45" customHeight="1" x14ac:dyDescent="0.25">
      <c r="A30" s="10">
        <v>1</v>
      </c>
      <c r="B30" s="905" t="str">
        <f>B9</f>
        <v>Equipe 1</v>
      </c>
      <c r="C30" s="933"/>
      <c r="D30" s="976"/>
      <c r="E30" s="977"/>
      <c r="F30" s="103"/>
      <c r="G30" s="11">
        <v>1</v>
      </c>
      <c r="H30" s="907" t="str">
        <f>H9</f>
        <v>Equipe 5</v>
      </c>
      <c r="I30" s="934"/>
      <c r="J30" s="209"/>
      <c r="K30" s="373"/>
      <c r="L30" s="76"/>
      <c r="M30" s="357">
        <v>1</v>
      </c>
      <c r="N30" s="844" t="str">
        <f>N9</f>
        <v>Equipe 9</v>
      </c>
      <c r="O30" s="845"/>
      <c r="P30" s="988"/>
      <c r="Q30" s="989"/>
      <c r="R30" s="2"/>
      <c r="S30" s="13">
        <v>1</v>
      </c>
      <c r="T30" s="835" t="str">
        <f>T9</f>
        <v>Equipe 13</v>
      </c>
      <c r="U30" s="836"/>
      <c r="V30" s="968"/>
      <c r="W30" s="969"/>
    </row>
    <row r="31" spans="1:24" ht="14.45" customHeight="1" x14ac:dyDescent="0.25">
      <c r="A31" s="10">
        <v>2</v>
      </c>
      <c r="B31" s="905" t="str">
        <f>H10</f>
        <v>Equipe 6</v>
      </c>
      <c r="C31" s="933"/>
      <c r="D31" s="976"/>
      <c r="E31" s="977"/>
      <c r="F31" s="103"/>
      <c r="G31" s="11">
        <v>2</v>
      </c>
      <c r="H31" s="907" t="str">
        <f>N10</f>
        <v>Equipe 10</v>
      </c>
      <c r="I31" s="934"/>
      <c r="J31" s="209"/>
      <c r="K31" s="373"/>
      <c r="L31" s="76"/>
      <c r="M31" s="357">
        <v>2</v>
      </c>
      <c r="N31" s="844" t="str">
        <f>T10</f>
        <v>Equipe 14</v>
      </c>
      <c r="O31" s="845"/>
      <c r="P31" s="988"/>
      <c r="Q31" s="989"/>
      <c r="R31" s="2"/>
      <c r="S31" s="13">
        <v>2</v>
      </c>
      <c r="T31" s="835" t="str">
        <f>B10</f>
        <v>Equipe 2</v>
      </c>
      <c r="U31" s="836"/>
      <c r="V31" s="968"/>
      <c r="W31" s="969"/>
    </row>
    <row r="32" spans="1:24" ht="14.45" customHeight="1" x14ac:dyDescent="0.25">
      <c r="A32" s="10">
        <v>3</v>
      </c>
      <c r="B32" s="905" t="str">
        <f>N11</f>
        <v>Equipe 11</v>
      </c>
      <c r="C32" s="933"/>
      <c r="D32" s="976"/>
      <c r="E32" s="977"/>
      <c r="F32" s="103"/>
      <c r="G32" s="11">
        <v>3</v>
      </c>
      <c r="H32" s="907" t="str">
        <f>T11</f>
        <v>Equipe 15</v>
      </c>
      <c r="I32" s="934"/>
      <c r="J32" s="209"/>
      <c r="K32" s="373"/>
      <c r="L32" s="76"/>
      <c r="M32" s="357">
        <v>3</v>
      </c>
      <c r="N32" s="844" t="str">
        <f>B11</f>
        <v>Equipe 3</v>
      </c>
      <c r="O32" s="845"/>
      <c r="P32" s="988"/>
      <c r="Q32" s="989"/>
      <c r="R32" s="2"/>
      <c r="S32" s="13">
        <v>3</v>
      </c>
      <c r="T32" s="835" t="str">
        <f>H11</f>
        <v>Equipe 7</v>
      </c>
      <c r="U32" s="836"/>
      <c r="V32" s="968"/>
      <c r="W32" s="969"/>
    </row>
    <row r="33" spans="1:23" ht="14.45" customHeight="1" thickBot="1" x14ac:dyDescent="0.3">
      <c r="A33" s="15">
        <v>4</v>
      </c>
      <c r="B33" s="901" t="str">
        <f>T12</f>
        <v>Equipe 16</v>
      </c>
      <c r="C33" s="939"/>
      <c r="D33" s="978"/>
      <c r="E33" s="979"/>
      <c r="F33" s="103"/>
      <c r="G33" s="16">
        <v>4</v>
      </c>
      <c r="H33" s="903" t="str">
        <f>B12</f>
        <v>Equipe 4</v>
      </c>
      <c r="I33" s="940"/>
      <c r="J33" s="211"/>
      <c r="K33" s="374"/>
      <c r="L33" s="76"/>
      <c r="M33" s="359">
        <v>4</v>
      </c>
      <c r="N33" s="846" t="str">
        <f>H12</f>
        <v>Equipe 8</v>
      </c>
      <c r="O33" s="847"/>
      <c r="P33" s="990"/>
      <c r="Q33" s="991"/>
      <c r="R33" s="2"/>
      <c r="S33" s="18">
        <v>4</v>
      </c>
      <c r="T33" s="837" t="str">
        <f>N12</f>
        <v>Equipe 12</v>
      </c>
      <c r="U33" s="838"/>
      <c r="V33" s="970"/>
      <c r="W33" s="971"/>
    </row>
    <row r="34" spans="1:23" s="29" customFormat="1" ht="5.0999999999999996" customHeight="1" thickBot="1" x14ac:dyDescent="0.3">
      <c r="A34" s="19"/>
      <c r="B34" s="2"/>
      <c r="C34" s="2"/>
      <c r="D34" s="2"/>
      <c r="E34" s="2"/>
      <c r="F34" s="2"/>
      <c r="G34" s="2"/>
      <c r="H34" s="2"/>
      <c r="I34" s="22"/>
      <c r="J34" s="2"/>
      <c r="K34" s="2"/>
      <c r="L34" s="76"/>
      <c r="M34" s="2"/>
      <c r="N34" s="2"/>
      <c r="O34" s="2"/>
      <c r="P34" s="2"/>
      <c r="Q34" s="2"/>
      <c r="R34" s="2"/>
      <c r="S34" s="2"/>
      <c r="T34" s="2"/>
      <c r="U34" s="2"/>
      <c r="V34" s="2"/>
      <c r="W34" s="21"/>
    </row>
    <row r="35" spans="1:23" ht="14.45" customHeight="1" x14ac:dyDescent="0.25">
      <c r="A35" s="24"/>
      <c r="B35" s="713" t="s">
        <v>10</v>
      </c>
      <c r="C35" s="713"/>
      <c r="D35" s="950"/>
      <c r="E35" s="951"/>
      <c r="F35" s="25"/>
      <c r="G35" s="26"/>
      <c r="H35" s="715" t="s">
        <v>10</v>
      </c>
      <c r="I35" s="715"/>
      <c r="J35" s="954"/>
      <c r="K35" s="1018"/>
      <c r="L35" s="77"/>
      <c r="M35" s="360"/>
      <c r="N35" s="786" t="s">
        <v>10</v>
      </c>
      <c r="O35" s="786"/>
      <c r="P35" s="960"/>
      <c r="Q35" s="961"/>
      <c r="R35" s="25"/>
      <c r="S35" s="28"/>
      <c r="T35" s="784" t="s">
        <v>10</v>
      </c>
      <c r="U35" s="784"/>
      <c r="V35" s="941"/>
      <c r="W35" s="942"/>
    </row>
    <row r="36" spans="1:23" ht="14.45" customHeight="1" x14ac:dyDescent="0.25">
      <c r="A36" s="30">
        <f>S24+J6+"00:02"+L5</f>
        <v>0.43749999999999972</v>
      </c>
      <c r="B36" s="31" t="str">
        <f>B30</f>
        <v>Equipe 1</v>
      </c>
      <c r="C36" s="31" t="str">
        <f>B31</f>
        <v>Equipe 6</v>
      </c>
      <c r="D36" s="952"/>
      <c r="E36" s="953"/>
      <c r="F36" s="2"/>
      <c r="G36" s="32">
        <f>A37+$J$27+"00:02"</f>
        <v>0.45138888888888856</v>
      </c>
      <c r="H36" s="33" t="str">
        <f>H30</f>
        <v>Equipe 5</v>
      </c>
      <c r="I36" s="33" t="str">
        <f>H31</f>
        <v>Equipe 10</v>
      </c>
      <c r="J36" s="956"/>
      <c r="K36" s="1019"/>
      <c r="L36" s="76"/>
      <c r="M36" s="361">
        <f>A36</f>
        <v>0.43749999999999972</v>
      </c>
      <c r="N36" s="35" t="str">
        <f>N30</f>
        <v>Equipe 9</v>
      </c>
      <c r="O36" s="35" t="str">
        <f>N31</f>
        <v>Equipe 14</v>
      </c>
      <c r="P36" s="962"/>
      <c r="Q36" s="963"/>
      <c r="R36" s="2"/>
      <c r="S36" s="36">
        <f>M37+$J$27+"00:02"</f>
        <v>0.45138888888888856</v>
      </c>
      <c r="T36" s="37" t="str">
        <f>T30</f>
        <v>Equipe 13</v>
      </c>
      <c r="U36" s="37" t="str">
        <f>T31</f>
        <v>Equipe 2</v>
      </c>
      <c r="V36" s="943"/>
      <c r="W36" s="944"/>
    </row>
    <row r="37" spans="1:23" ht="14.45" customHeight="1" thickBot="1" x14ac:dyDescent="0.3">
      <c r="A37" s="38">
        <f>A36+$J$27+"00:02"</f>
        <v>0.44444444444444414</v>
      </c>
      <c r="B37" s="39" t="str">
        <f>B32</f>
        <v>Equipe 11</v>
      </c>
      <c r="C37" s="39" t="str">
        <f>B33</f>
        <v>Equipe 16</v>
      </c>
      <c r="D37" s="972"/>
      <c r="E37" s="973"/>
      <c r="F37" s="2"/>
      <c r="G37" s="40">
        <f>G36+$J$27+"00:02"</f>
        <v>0.45833333333333298</v>
      </c>
      <c r="H37" s="41" t="str">
        <f>H32</f>
        <v>Equipe 15</v>
      </c>
      <c r="I37" s="41" t="str">
        <f>H33</f>
        <v>Equipe 4</v>
      </c>
      <c r="J37" s="958"/>
      <c r="K37" s="1020"/>
      <c r="L37" s="76"/>
      <c r="M37" s="362">
        <f>M36+$J$27+"00:02"</f>
        <v>0.44444444444444414</v>
      </c>
      <c r="N37" s="43" t="str">
        <f>N32</f>
        <v>Equipe 3</v>
      </c>
      <c r="O37" s="43" t="str">
        <f>N33</f>
        <v>Equipe 8</v>
      </c>
      <c r="P37" s="964"/>
      <c r="Q37" s="965"/>
      <c r="R37" s="2"/>
      <c r="S37" s="44">
        <f>S36+$J$27+"00:02"</f>
        <v>0.45833333333333298</v>
      </c>
      <c r="T37" s="45" t="str">
        <f>T32</f>
        <v>Equipe 7</v>
      </c>
      <c r="U37" s="45" t="str">
        <f>T33</f>
        <v>Equipe 12</v>
      </c>
      <c r="V37" s="945"/>
      <c r="W37" s="946"/>
    </row>
    <row r="38" spans="1:23" ht="5.0999999999999996" customHeight="1" thickBot="1" x14ac:dyDescent="0.3">
      <c r="A38" s="19"/>
      <c r="B38" s="2"/>
      <c r="C38" s="2"/>
      <c r="D38" s="183"/>
      <c r="E38" s="183"/>
      <c r="F38" s="2"/>
      <c r="G38" s="2"/>
      <c r="H38" s="2"/>
      <c r="I38" s="47"/>
      <c r="J38" s="183"/>
      <c r="K38" s="281"/>
      <c r="L38" s="76"/>
      <c r="M38" s="2"/>
      <c r="N38" s="2"/>
      <c r="O38" s="2"/>
      <c r="P38" s="183"/>
      <c r="Q38" s="281"/>
      <c r="R38" s="2"/>
      <c r="S38" s="2"/>
      <c r="T38" s="2"/>
      <c r="U38" s="2"/>
      <c r="V38" s="183"/>
      <c r="W38" s="48"/>
    </row>
    <row r="39" spans="1:23" ht="14.45" customHeight="1" x14ac:dyDescent="0.25">
      <c r="A39" s="24"/>
      <c r="B39" s="713" t="s">
        <v>11</v>
      </c>
      <c r="C39" s="713"/>
      <c r="D39" s="950"/>
      <c r="E39" s="951"/>
      <c r="F39" s="25"/>
      <c r="G39" s="26"/>
      <c r="H39" s="715" t="s">
        <v>11</v>
      </c>
      <c r="I39" s="715"/>
      <c r="J39" s="954"/>
      <c r="K39" s="1018"/>
      <c r="L39" s="77"/>
      <c r="M39" s="360"/>
      <c r="N39" s="786" t="s">
        <v>11</v>
      </c>
      <c r="O39" s="786"/>
      <c r="P39" s="960"/>
      <c r="Q39" s="961"/>
      <c r="R39" s="25"/>
      <c r="S39" s="28"/>
      <c r="T39" s="784" t="s">
        <v>11</v>
      </c>
      <c r="U39" s="784"/>
      <c r="V39" s="941"/>
      <c r="W39" s="942"/>
    </row>
    <row r="40" spans="1:23" ht="14.45" customHeight="1" x14ac:dyDescent="0.25">
      <c r="A40" s="30">
        <f>S37+$J$27+"00:02"</f>
        <v>0.4652777777777774</v>
      </c>
      <c r="B40" s="31" t="str">
        <f>B30</f>
        <v>Equipe 1</v>
      </c>
      <c r="C40" s="31" t="str">
        <f>B32</f>
        <v>Equipe 11</v>
      </c>
      <c r="D40" s="952"/>
      <c r="E40" s="953"/>
      <c r="F40" s="2"/>
      <c r="G40" s="32">
        <f>A41+$J$27+"00:02"</f>
        <v>0.47916666666666624</v>
      </c>
      <c r="H40" s="33" t="str">
        <f>H30</f>
        <v>Equipe 5</v>
      </c>
      <c r="I40" s="33" t="str">
        <f>H32</f>
        <v>Equipe 15</v>
      </c>
      <c r="J40" s="956"/>
      <c r="K40" s="1019"/>
      <c r="L40" s="76"/>
      <c r="M40" s="361">
        <f>S37+$J$27+"00:02"</f>
        <v>0.4652777777777774</v>
      </c>
      <c r="N40" s="35" t="str">
        <f>N30</f>
        <v>Equipe 9</v>
      </c>
      <c r="O40" s="35" t="str">
        <f>N32</f>
        <v>Equipe 3</v>
      </c>
      <c r="P40" s="962"/>
      <c r="Q40" s="963"/>
      <c r="R40" s="2"/>
      <c r="S40" s="36">
        <f>M41+$J$27+"00:02"</f>
        <v>0.47916666666666624</v>
      </c>
      <c r="T40" s="37" t="str">
        <f>T30</f>
        <v>Equipe 13</v>
      </c>
      <c r="U40" s="37" t="str">
        <f>T32</f>
        <v>Equipe 7</v>
      </c>
      <c r="V40" s="943"/>
      <c r="W40" s="944"/>
    </row>
    <row r="41" spans="1:23" ht="14.45" customHeight="1" thickBot="1" x14ac:dyDescent="0.3">
      <c r="A41" s="38">
        <f>A40+$J$27+"00:02"</f>
        <v>0.47222222222222182</v>
      </c>
      <c r="B41" s="39" t="str">
        <f>B31</f>
        <v>Equipe 6</v>
      </c>
      <c r="C41" s="39" t="str">
        <f>B33</f>
        <v>Equipe 16</v>
      </c>
      <c r="D41" s="972"/>
      <c r="E41" s="973"/>
      <c r="F41" s="2"/>
      <c r="G41" s="40">
        <f>G40+$J$27+"00:02"</f>
        <v>0.48611111111111066</v>
      </c>
      <c r="H41" s="41" t="str">
        <f>H31</f>
        <v>Equipe 10</v>
      </c>
      <c r="I41" s="41" t="str">
        <f>H33</f>
        <v>Equipe 4</v>
      </c>
      <c r="J41" s="958"/>
      <c r="K41" s="1020"/>
      <c r="L41" s="76"/>
      <c r="M41" s="362">
        <f>M40+$J$27+"00:02"</f>
        <v>0.47222222222222182</v>
      </c>
      <c r="N41" s="43" t="str">
        <f>N31</f>
        <v>Equipe 14</v>
      </c>
      <c r="O41" s="43" t="str">
        <f>N33</f>
        <v>Equipe 8</v>
      </c>
      <c r="P41" s="964"/>
      <c r="Q41" s="965"/>
      <c r="R41" s="2"/>
      <c r="S41" s="44">
        <f>S40+$J$27+"00:02"</f>
        <v>0.48611111111111066</v>
      </c>
      <c r="T41" s="45" t="str">
        <f>T31</f>
        <v>Equipe 2</v>
      </c>
      <c r="U41" s="45" t="str">
        <f>T33</f>
        <v>Equipe 12</v>
      </c>
      <c r="V41" s="945"/>
      <c r="W41" s="946"/>
    </row>
    <row r="42" spans="1:23" ht="5.0999999999999996" customHeight="1" thickBot="1" x14ac:dyDescent="0.3">
      <c r="A42" s="19"/>
      <c r="B42" s="2"/>
      <c r="C42" s="2"/>
      <c r="D42" s="183"/>
      <c r="E42" s="183"/>
      <c r="F42" s="2"/>
      <c r="G42" s="2"/>
      <c r="H42" s="2"/>
      <c r="I42" s="47"/>
      <c r="J42" s="183"/>
      <c r="K42" s="281"/>
      <c r="L42" s="76"/>
      <c r="M42" s="2"/>
      <c r="N42" s="2"/>
      <c r="O42" s="2"/>
      <c r="P42" s="183"/>
      <c r="Q42" s="281"/>
      <c r="R42" s="2"/>
      <c r="S42" s="2"/>
      <c r="T42" s="2"/>
      <c r="U42" s="2"/>
      <c r="V42" s="183"/>
      <c r="W42" s="48"/>
    </row>
    <row r="43" spans="1:23" ht="14.45" customHeight="1" x14ac:dyDescent="0.25">
      <c r="A43" s="24"/>
      <c r="B43" s="713" t="s">
        <v>12</v>
      </c>
      <c r="C43" s="713"/>
      <c r="D43" s="950"/>
      <c r="E43" s="951"/>
      <c r="F43" s="25"/>
      <c r="G43" s="26"/>
      <c r="H43" s="715" t="s">
        <v>12</v>
      </c>
      <c r="I43" s="715"/>
      <c r="J43" s="954"/>
      <c r="K43" s="1018"/>
      <c r="L43" s="77"/>
      <c r="M43" s="360"/>
      <c r="N43" s="786" t="s">
        <v>12</v>
      </c>
      <c r="O43" s="786"/>
      <c r="P43" s="960"/>
      <c r="Q43" s="961"/>
      <c r="R43" s="25"/>
      <c r="S43" s="28"/>
      <c r="T43" s="784" t="s">
        <v>12</v>
      </c>
      <c r="U43" s="784"/>
      <c r="V43" s="941"/>
      <c r="W43" s="942"/>
    </row>
    <row r="44" spans="1:23" ht="14.45" customHeight="1" x14ac:dyDescent="0.25">
      <c r="A44" s="30">
        <f>S41+$J$27+"00:02"</f>
        <v>0.49305555555555508</v>
      </c>
      <c r="B44" s="31" t="str">
        <f>B30</f>
        <v>Equipe 1</v>
      </c>
      <c r="C44" s="31" t="str">
        <f>B33</f>
        <v>Equipe 16</v>
      </c>
      <c r="D44" s="952"/>
      <c r="E44" s="953"/>
      <c r="F44" s="2"/>
      <c r="G44" s="32">
        <f>A45+$J$27+"00:02"</f>
        <v>0.50694444444444398</v>
      </c>
      <c r="H44" s="33" t="str">
        <f>H30</f>
        <v>Equipe 5</v>
      </c>
      <c r="I44" s="33" t="str">
        <f>H33</f>
        <v>Equipe 4</v>
      </c>
      <c r="J44" s="956"/>
      <c r="K44" s="1019"/>
      <c r="L44" s="76"/>
      <c r="M44" s="361">
        <f>S41+$J$27+"00:02"</f>
        <v>0.49305555555555508</v>
      </c>
      <c r="N44" s="35" t="str">
        <f>N30</f>
        <v>Equipe 9</v>
      </c>
      <c r="O44" s="35" t="str">
        <f>N33</f>
        <v>Equipe 8</v>
      </c>
      <c r="P44" s="962"/>
      <c r="Q44" s="963"/>
      <c r="R44" s="2"/>
      <c r="S44" s="36">
        <f>M45+$J$27+"00:02"</f>
        <v>0.50694444444444398</v>
      </c>
      <c r="T44" s="37" t="str">
        <f>T30</f>
        <v>Equipe 13</v>
      </c>
      <c r="U44" s="37" t="str">
        <f>T33</f>
        <v>Equipe 12</v>
      </c>
      <c r="V44" s="943"/>
      <c r="W44" s="944"/>
    </row>
    <row r="45" spans="1:23" ht="14.45" customHeight="1" thickBot="1" x14ac:dyDescent="0.3">
      <c r="A45" s="38">
        <f>A44+$J$27+"00:02"</f>
        <v>0.4999999999999995</v>
      </c>
      <c r="B45" s="39" t="str">
        <f>B31</f>
        <v>Equipe 6</v>
      </c>
      <c r="C45" s="39" t="str">
        <f>B32</f>
        <v>Equipe 11</v>
      </c>
      <c r="D45" s="972"/>
      <c r="E45" s="973"/>
      <c r="F45" s="47"/>
      <c r="G45" s="40">
        <f>G44+$J$27+"00:02"</f>
        <v>0.5138888888888884</v>
      </c>
      <c r="H45" s="41" t="str">
        <f>H31</f>
        <v>Equipe 10</v>
      </c>
      <c r="I45" s="41" t="str">
        <f>H32</f>
        <v>Equipe 15</v>
      </c>
      <c r="J45" s="958"/>
      <c r="K45" s="1020"/>
      <c r="L45" s="78"/>
      <c r="M45" s="362">
        <f>M44+$J$27+"00:02"</f>
        <v>0.4999999999999995</v>
      </c>
      <c r="N45" s="43" t="str">
        <f>N31</f>
        <v>Equipe 14</v>
      </c>
      <c r="O45" s="43" t="str">
        <f>N32</f>
        <v>Equipe 3</v>
      </c>
      <c r="P45" s="964"/>
      <c r="Q45" s="965"/>
      <c r="R45" s="47"/>
      <c r="S45" s="44">
        <f>S44+$J$27+"00:02"</f>
        <v>0.5138888888888884</v>
      </c>
      <c r="T45" s="45" t="str">
        <f>T31</f>
        <v>Equipe 2</v>
      </c>
      <c r="U45" s="45" t="str">
        <f>T32</f>
        <v>Equipe 7</v>
      </c>
      <c r="V45" s="945"/>
      <c r="W45" s="946"/>
    </row>
    <row r="46" spans="1:23" ht="5.0999999999999996" customHeight="1" thickBot="1" x14ac:dyDescent="0.3">
      <c r="A46" s="1058"/>
      <c r="B46" s="1059"/>
      <c r="C46" s="1059"/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60"/>
    </row>
    <row r="47" spans="1:23" x14ac:dyDescent="0.25">
      <c r="U47" s="932" t="s">
        <v>171</v>
      </c>
      <c r="V47" s="932"/>
      <c r="W47" s="932"/>
    </row>
  </sheetData>
  <sheetProtection sheet="1" scenarios="1" selectLockedCells="1"/>
  <mergeCells count="114">
    <mergeCell ref="U47:W47"/>
    <mergeCell ref="T43:U43"/>
    <mergeCell ref="V43:W45"/>
    <mergeCell ref="A46:W46"/>
    <mergeCell ref="A7:K7"/>
    <mergeCell ref="M7:W7"/>
    <mergeCell ref="A28:K28"/>
    <mergeCell ref="M28:W28"/>
    <mergeCell ref="B43:C43"/>
    <mergeCell ref="D43:E45"/>
    <mergeCell ref="H43:I43"/>
    <mergeCell ref="J43:K45"/>
    <mergeCell ref="N43:O43"/>
    <mergeCell ref="P43:Q45"/>
    <mergeCell ref="T35:U35"/>
    <mergeCell ref="V35:W37"/>
    <mergeCell ref="B39:C39"/>
    <mergeCell ref="D39:E41"/>
    <mergeCell ref="H39:I39"/>
    <mergeCell ref="J39:K41"/>
    <mergeCell ref="N39:O39"/>
    <mergeCell ref="P39:Q41"/>
    <mergeCell ref="T39:U39"/>
    <mergeCell ref="V39:W41"/>
    <mergeCell ref="B35:C35"/>
    <mergeCell ref="N31:O31"/>
    <mergeCell ref="T31:U31"/>
    <mergeCell ref="D35:E37"/>
    <mergeCell ref="H35:I35"/>
    <mergeCell ref="J35:K37"/>
    <mergeCell ref="N35:O35"/>
    <mergeCell ref="P35:Q37"/>
    <mergeCell ref="B32:C32"/>
    <mergeCell ref="H32:I32"/>
    <mergeCell ref="N32:O32"/>
    <mergeCell ref="T32:U32"/>
    <mergeCell ref="B33:C33"/>
    <mergeCell ref="H33:I33"/>
    <mergeCell ref="N33:O33"/>
    <mergeCell ref="T33:U33"/>
    <mergeCell ref="T22:U22"/>
    <mergeCell ref="V22:W24"/>
    <mergeCell ref="A27:H27"/>
    <mergeCell ref="J27:L27"/>
    <mergeCell ref="O27:W27"/>
    <mergeCell ref="B29:C29"/>
    <mergeCell ref="D29:E33"/>
    <mergeCell ref="H29:I29"/>
    <mergeCell ref="N29:O29"/>
    <mergeCell ref="P29:Q33"/>
    <mergeCell ref="B22:C22"/>
    <mergeCell ref="D22:E24"/>
    <mergeCell ref="H22:I22"/>
    <mergeCell ref="J22:K24"/>
    <mergeCell ref="N22:O22"/>
    <mergeCell ref="P22:Q24"/>
    <mergeCell ref="T29:U29"/>
    <mergeCell ref="V29:W33"/>
    <mergeCell ref="B30:C30"/>
    <mergeCell ref="H30:I30"/>
    <mergeCell ref="N30:O30"/>
    <mergeCell ref="T30:U30"/>
    <mergeCell ref="B31:C31"/>
    <mergeCell ref="H31:I31"/>
    <mergeCell ref="T14:U14"/>
    <mergeCell ref="V14:W16"/>
    <mergeCell ref="B18:C18"/>
    <mergeCell ref="D18:E20"/>
    <mergeCell ref="H18:I18"/>
    <mergeCell ref="J18:K20"/>
    <mergeCell ref="N18:O18"/>
    <mergeCell ref="P18:Q20"/>
    <mergeCell ref="T18:U18"/>
    <mergeCell ref="V18:W20"/>
    <mergeCell ref="B14:C14"/>
    <mergeCell ref="D14:E16"/>
    <mergeCell ref="H14:I14"/>
    <mergeCell ref="J14:K16"/>
    <mergeCell ref="N14:O14"/>
    <mergeCell ref="P14:Q16"/>
    <mergeCell ref="B8:E8"/>
    <mergeCell ref="H8:I8"/>
    <mergeCell ref="J8:K12"/>
    <mergeCell ref="N8:O8"/>
    <mergeCell ref="P8:Q12"/>
    <mergeCell ref="T8:U8"/>
    <mergeCell ref="V8:W12"/>
    <mergeCell ref="H11:I11"/>
    <mergeCell ref="N11:O11"/>
    <mergeCell ref="T11:U11"/>
    <mergeCell ref="B12:C12"/>
    <mergeCell ref="H12:I12"/>
    <mergeCell ref="N12:O12"/>
    <mergeCell ref="T12:U12"/>
    <mergeCell ref="B9:C9"/>
    <mergeCell ref="D9:E12"/>
    <mergeCell ref="H9:I9"/>
    <mergeCell ref="N9:O9"/>
    <mergeCell ref="T9:U9"/>
    <mergeCell ref="B10:C10"/>
    <mergeCell ref="H10:I10"/>
    <mergeCell ref="N10:O10"/>
    <mergeCell ref="T10:U10"/>
    <mergeCell ref="B11:C11"/>
    <mergeCell ref="E4:G4"/>
    <mergeCell ref="I4:K4"/>
    <mergeCell ref="L4:M4"/>
    <mergeCell ref="E5:G5"/>
    <mergeCell ref="L5:M5"/>
    <mergeCell ref="A6:H6"/>
    <mergeCell ref="J6:L6"/>
    <mergeCell ref="O6:W6"/>
    <mergeCell ref="A1:T1"/>
    <mergeCell ref="U1:W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6" orientation="landscape" horizontalDpi="300" verticalDpi="30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46"/>
  <sheetViews>
    <sheetView showGridLines="0" workbookViewId="0">
      <selection sqref="A1:U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4" width="2.85546875" style="1" customWidth="1"/>
    <col min="5" max="5" width="5.85546875" style="1" customWidth="1"/>
    <col min="6" max="7" width="12.85546875" style="1" customWidth="1"/>
    <col min="8" max="8" width="2.85546875" style="1" customWidth="1"/>
    <col min="9" max="9" width="5.85546875" style="1" customWidth="1"/>
    <col min="10" max="11" width="12.85546875" style="1" customWidth="1"/>
    <col min="12" max="12" width="2.85546875" style="1" customWidth="1"/>
    <col min="13" max="13" width="5.85546875" style="1" customWidth="1"/>
    <col min="14" max="15" width="12.85546875" style="1" customWidth="1"/>
    <col min="16" max="16" width="2.85546875" style="1" customWidth="1"/>
    <col min="17" max="17" width="5.85546875" style="1" customWidth="1"/>
    <col min="18" max="19" width="12.85546875" style="1" customWidth="1"/>
    <col min="20" max="20" width="2.85546875" style="1" customWidth="1"/>
    <col min="21" max="21" width="5.85546875" style="1" customWidth="1"/>
    <col min="22" max="23" width="12.85546875" style="1" customWidth="1"/>
    <col min="24" max="16384" width="11.5703125" style="1"/>
  </cols>
  <sheetData>
    <row r="1" spans="1:23" ht="24.95" customHeight="1" x14ac:dyDescent="0.35">
      <c r="A1" s="734" t="s">
        <v>175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820"/>
      <c r="V1" s="1061"/>
      <c r="W1" s="1062"/>
    </row>
    <row r="2" spans="1:23" ht="24.95" customHeight="1" x14ac:dyDescent="0.25">
      <c r="A2" s="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1"/>
      <c r="V2" s="1063"/>
      <c r="W2" s="1064"/>
    </row>
    <row r="3" spans="1:23" ht="24.95" customHeight="1" thickBot="1" x14ac:dyDescent="0.3">
      <c r="A3" s="262" t="s">
        <v>51</v>
      </c>
      <c r="B3" s="104"/>
      <c r="C3" s="104"/>
      <c r="D3" s="104" t="s">
        <v>173</v>
      </c>
      <c r="E3" s="104"/>
      <c r="F3" s="104"/>
      <c r="G3" s="104"/>
      <c r="H3" s="104"/>
      <c r="I3" s="104"/>
      <c r="J3" s="104"/>
      <c r="K3" s="218"/>
      <c r="L3" s="2"/>
      <c r="M3" s="2"/>
      <c r="N3" s="2"/>
      <c r="O3" s="2"/>
      <c r="P3" s="2"/>
      <c r="Q3" s="2"/>
      <c r="R3" s="2"/>
      <c r="S3" s="2"/>
      <c r="T3" s="2"/>
      <c r="U3" s="21"/>
      <c r="V3" s="1063"/>
      <c r="W3" s="1064"/>
    </row>
    <row r="4" spans="1:23" ht="24.95" customHeight="1" thickBot="1" x14ac:dyDescent="0.3">
      <c r="A4" s="263" t="s">
        <v>52</v>
      </c>
      <c r="B4" s="2"/>
      <c r="C4" s="2"/>
      <c r="D4" s="85"/>
      <c r="E4" s="85"/>
      <c r="F4" s="220">
        <v>0.375</v>
      </c>
      <c r="G4" s="2"/>
      <c r="H4" s="219"/>
      <c r="I4" s="2"/>
      <c r="J4" s="741" t="s">
        <v>54</v>
      </c>
      <c r="K4" s="741"/>
      <c r="L4" s="1054">
        <f>(3*N6)+(3*N26)</f>
        <v>4.1666666666666664E-2</v>
      </c>
      <c r="M4" s="1054"/>
      <c r="N4" s="264" t="s">
        <v>33</v>
      </c>
      <c r="O4" s="2"/>
      <c r="P4" s="2"/>
      <c r="Q4" s="2"/>
      <c r="R4" s="2"/>
      <c r="S4" s="2"/>
      <c r="T4" s="2"/>
      <c r="U4" s="21"/>
      <c r="V4" s="1063"/>
      <c r="W4" s="1064"/>
    </row>
    <row r="5" spans="1:23" ht="24.95" customHeight="1" thickBot="1" x14ac:dyDescent="0.3">
      <c r="A5" s="317" t="s">
        <v>32</v>
      </c>
      <c r="B5" s="215"/>
      <c r="C5" s="47"/>
      <c r="D5" s="47"/>
      <c r="E5" s="47"/>
      <c r="F5" s="214">
        <f>I44-A15+G26</f>
        <v>0.27083333333333237</v>
      </c>
      <c r="G5" s="214"/>
      <c r="H5" s="47"/>
      <c r="I5" s="999" t="s">
        <v>79</v>
      </c>
      <c r="J5" s="999"/>
      <c r="K5" s="999"/>
      <c r="L5" s="687">
        <v>0</v>
      </c>
      <c r="M5" s="688"/>
      <c r="N5" s="47"/>
      <c r="O5" s="47"/>
      <c r="P5" s="47"/>
      <c r="Q5" s="47"/>
      <c r="R5" s="47"/>
      <c r="S5" s="47"/>
      <c r="T5" s="47"/>
      <c r="U5" s="188"/>
      <c r="V5" s="1063"/>
      <c r="W5" s="1064"/>
    </row>
    <row r="6" spans="1:23" ht="16.5" thickBot="1" x14ac:dyDescent="0.3">
      <c r="A6" s="701" t="s">
        <v>89</v>
      </c>
      <c r="B6" s="685"/>
      <c r="C6" s="685"/>
      <c r="D6" s="685"/>
      <c r="E6" s="685"/>
      <c r="F6" s="685"/>
      <c r="G6" s="685"/>
      <c r="H6" s="685"/>
      <c r="I6" s="685"/>
      <c r="J6" s="685"/>
      <c r="K6" s="685" t="s">
        <v>18</v>
      </c>
      <c r="L6" s="685"/>
      <c r="M6" s="685"/>
      <c r="N6" s="127">
        <v>6.9444444444444441E-3</v>
      </c>
      <c r="O6" s="128" t="s">
        <v>17</v>
      </c>
      <c r="P6" s="189"/>
      <c r="Q6" s="128"/>
      <c r="R6" s="20"/>
      <c r="S6" s="20"/>
      <c r="T6" s="20"/>
      <c r="U6" s="20"/>
      <c r="V6" s="20"/>
      <c r="W6" s="107"/>
    </row>
    <row r="7" spans="1:23" ht="16.5" thickBot="1" x14ac:dyDescent="0.3">
      <c r="A7" s="1052" t="s">
        <v>87</v>
      </c>
      <c r="B7" s="1053"/>
      <c r="C7" s="1053"/>
      <c r="D7" s="1053"/>
      <c r="E7" s="1053"/>
      <c r="F7" s="1053"/>
      <c r="G7" s="1053"/>
      <c r="H7" s="1053"/>
      <c r="I7" s="1053"/>
      <c r="J7" s="1053"/>
      <c r="K7" s="1065"/>
      <c r="L7" s="221"/>
      <c r="M7" s="1052" t="s">
        <v>88</v>
      </c>
      <c r="N7" s="1053"/>
      <c r="O7" s="1053"/>
      <c r="P7" s="1053"/>
      <c r="Q7" s="1053"/>
      <c r="R7" s="1053"/>
      <c r="S7" s="1053"/>
      <c r="T7" s="1053"/>
      <c r="U7" s="1053"/>
      <c r="V7" s="1053"/>
      <c r="W7" s="1065"/>
    </row>
    <row r="8" spans="1:23" x14ac:dyDescent="0.25">
      <c r="A8" s="125"/>
      <c r="B8" s="912" t="s">
        <v>41</v>
      </c>
      <c r="C8" s="914"/>
      <c r="D8" s="102"/>
      <c r="E8" s="124"/>
      <c r="F8" s="915" t="s">
        <v>42</v>
      </c>
      <c r="G8" s="917"/>
      <c r="H8" s="103"/>
      <c r="I8" s="97"/>
      <c r="J8" s="852" t="s">
        <v>43</v>
      </c>
      <c r="K8" s="853"/>
      <c r="L8" s="168"/>
      <c r="M8" s="125"/>
      <c r="N8" s="912" t="s">
        <v>55</v>
      </c>
      <c r="O8" s="914"/>
      <c r="P8" s="102"/>
      <c r="Q8" s="124"/>
      <c r="R8" s="915" t="s">
        <v>91</v>
      </c>
      <c r="S8" s="917"/>
      <c r="T8" s="103"/>
      <c r="U8" s="97"/>
      <c r="V8" s="852" t="s">
        <v>92</v>
      </c>
      <c r="W8" s="853"/>
    </row>
    <row r="9" spans="1:23" x14ac:dyDescent="0.25">
      <c r="A9" s="10">
        <v>1</v>
      </c>
      <c r="B9" s="731" t="s">
        <v>22</v>
      </c>
      <c r="C9" s="1010"/>
      <c r="D9" s="103"/>
      <c r="E9" s="11">
        <v>1</v>
      </c>
      <c r="F9" s="727" t="s">
        <v>26</v>
      </c>
      <c r="G9" s="1011"/>
      <c r="H9" s="103"/>
      <c r="I9" s="12">
        <v>1</v>
      </c>
      <c r="J9" s="800" t="s">
        <v>37</v>
      </c>
      <c r="K9" s="1012"/>
      <c r="L9" s="168"/>
      <c r="M9" s="10">
        <v>1</v>
      </c>
      <c r="N9" s="731" t="s">
        <v>56</v>
      </c>
      <c r="O9" s="1010"/>
      <c r="P9" s="103"/>
      <c r="Q9" s="11">
        <v>1</v>
      </c>
      <c r="R9" s="727" t="s">
        <v>93</v>
      </c>
      <c r="S9" s="1011"/>
      <c r="T9" s="103"/>
      <c r="U9" s="12">
        <v>1</v>
      </c>
      <c r="V9" s="800" t="s">
        <v>97</v>
      </c>
      <c r="W9" s="1012"/>
    </row>
    <row r="10" spans="1:23" x14ac:dyDescent="0.25">
      <c r="A10" s="10">
        <v>2</v>
      </c>
      <c r="B10" s="731" t="s">
        <v>23</v>
      </c>
      <c r="C10" s="1010"/>
      <c r="D10" s="103"/>
      <c r="E10" s="11">
        <v>2</v>
      </c>
      <c r="F10" s="727" t="s">
        <v>27</v>
      </c>
      <c r="G10" s="1011"/>
      <c r="H10" s="103"/>
      <c r="I10" s="12">
        <v>2</v>
      </c>
      <c r="J10" s="800" t="s">
        <v>38</v>
      </c>
      <c r="K10" s="1012"/>
      <c r="L10" s="168"/>
      <c r="M10" s="10">
        <v>2</v>
      </c>
      <c r="N10" s="731" t="s">
        <v>57</v>
      </c>
      <c r="O10" s="1010"/>
      <c r="P10" s="103"/>
      <c r="Q10" s="11">
        <v>2</v>
      </c>
      <c r="R10" s="727" t="s">
        <v>94</v>
      </c>
      <c r="S10" s="1011"/>
      <c r="T10" s="103"/>
      <c r="U10" s="12">
        <v>2</v>
      </c>
      <c r="V10" s="800" t="s">
        <v>98</v>
      </c>
      <c r="W10" s="1012"/>
    </row>
    <row r="11" spans="1:23" x14ac:dyDescent="0.25">
      <c r="A11" s="10">
        <v>3</v>
      </c>
      <c r="B11" s="731" t="s">
        <v>24</v>
      </c>
      <c r="C11" s="1010"/>
      <c r="D11" s="103"/>
      <c r="E11" s="11">
        <v>3</v>
      </c>
      <c r="F11" s="727" t="s">
        <v>28</v>
      </c>
      <c r="G11" s="1011"/>
      <c r="H11" s="103"/>
      <c r="I11" s="12">
        <v>3</v>
      </c>
      <c r="J11" s="800" t="s">
        <v>39</v>
      </c>
      <c r="K11" s="1012"/>
      <c r="L11" s="168"/>
      <c r="M11" s="10">
        <v>3</v>
      </c>
      <c r="N11" s="731" t="s">
        <v>58</v>
      </c>
      <c r="O11" s="1010"/>
      <c r="P11" s="103"/>
      <c r="Q11" s="11">
        <v>3</v>
      </c>
      <c r="R11" s="727" t="s">
        <v>95</v>
      </c>
      <c r="S11" s="1011"/>
      <c r="T11" s="103"/>
      <c r="U11" s="12">
        <v>3</v>
      </c>
      <c r="V11" s="800" t="s">
        <v>99</v>
      </c>
      <c r="W11" s="1012"/>
    </row>
    <row r="12" spans="1:23" ht="15.75" thickBot="1" x14ac:dyDescent="0.3">
      <c r="A12" s="15">
        <v>4</v>
      </c>
      <c r="B12" s="717" t="s">
        <v>25</v>
      </c>
      <c r="C12" s="1007"/>
      <c r="D12" s="103"/>
      <c r="E12" s="16">
        <v>4</v>
      </c>
      <c r="F12" s="721" t="s">
        <v>29</v>
      </c>
      <c r="G12" s="1008"/>
      <c r="H12" s="103"/>
      <c r="I12" s="17">
        <v>4</v>
      </c>
      <c r="J12" s="792" t="s">
        <v>40</v>
      </c>
      <c r="K12" s="1009"/>
      <c r="L12" s="168"/>
      <c r="M12" s="15">
        <v>4</v>
      </c>
      <c r="N12" s="717" t="s">
        <v>59</v>
      </c>
      <c r="O12" s="1007"/>
      <c r="P12" s="103"/>
      <c r="Q12" s="16">
        <v>4</v>
      </c>
      <c r="R12" s="721" t="s">
        <v>96</v>
      </c>
      <c r="S12" s="1008"/>
      <c r="T12" s="103"/>
      <c r="U12" s="17">
        <v>4</v>
      </c>
      <c r="V12" s="792" t="s">
        <v>100</v>
      </c>
      <c r="W12" s="1009"/>
    </row>
    <row r="13" spans="1:23" ht="5.0999999999999996" customHeight="1" thickBot="1" x14ac:dyDescent="0.3">
      <c r="A13" s="19"/>
      <c r="B13" s="2"/>
      <c r="C13" s="2"/>
      <c r="D13" s="2"/>
      <c r="E13" s="2"/>
      <c r="F13" s="2"/>
      <c r="G13" s="22"/>
      <c r="H13" s="85"/>
      <c r="I13" s="2"/>
      <c r="J13" s="2"/>
      <c r="K13" s="21"/>
      <c r="L13" s="168"/>
      <c r="M13" s="19"/>
      <c r="N13" s="2"/>
      <c r="O13" s="2"/>
      <c r="P13" s="2"/>
      <c r="Q13" s="2"/>
      <c r="R13" s="2"/>
      <c r="S13" s="22"/>
      <c r="T13" s="85"/>
      <c r="U13" s="2"/>
      <c r="V13" s="2"/>
      <c r="W13" s="21"/>
    </row>
    <row r="14" spans="1:23" s="29" customFormat="1" x14ac:dyDescent="0.25">
      <c r="A14" s="24"/>
      <c r="B14" s="713" t="s">
        <v>5</v>
      </c>
      <c r="C14" s="714"/>
      <c r="D14" s="25"/>
      <c r="E14" s="26"/>
      <c r="F14" s="715" t="s">
        <v>5</v>
      </c>
      <c r="G14" s="715"/>
      <c r="H14" s="77"/>
      <c r="I14" s="27"/>
      <c r="J14" s="786" t="s">
        <v>5</v>
      </c>
      <c r="K14" s="787"/>
      <c r="L14" s="167"/>
      <c r="M14" s="24"/>
      <c r="N14" s="713" t="s">
        <v>5</v>
      </c>
      <c r="O14" s="714"/>
      <c r="P14" s="25"/>
      <c r="Q14" s="26"/>
      <c r="R14" s="715" t="s">
        <v>5</v>
      </c>
      <c r="S14" s="715"/>
      <c r="T14" s="77"/>
      <c r="U14" s="27"/>
      <c r="V14" s="786" t="s">
        <v>5</v>
      </c>
      <c r="W14" s="787"/>
    </row>
    <row r="15" spans="1:23" x14ac:dyDescent="0.25">
      <c r="A15" s="30">
        <f>F4</f>
        <v>0.375</v>
      </c>
      <c r="B15" s="31" t="str">
        <f>B9</f>
        <v>Equipe 1</v>
      </c>
      <c r="C15" s="368" t="str">
        <f>B10</f>
        <v>Equipe 2</v>
      </c>
      <c r="D15" s="2"/>
      <c r="E15" s="32">
        <f>A16+$N$6+"00:02"</f>
        <v>0.39166666666666661</v>
      </c>
      <c r="F15" s="33" t="str">
        <f>F9</f>
        <v>Equipe 5</v>
      </c>
      <c r="G15" s="33" t="str">
        <f>F10</f>
        <v>Equipe 6</v>
      </c>
      <c r="H15" s="76"/>
      <c r="I15" s="34">
        <f>E16+$N$6+"00:02"</f>
        <v>0.40833333333333321</v>
      </c>
      <c r="J15" s="35" t="str">
        <f>J9</f>
        <v>Equipe 9</v>
      </c>
      <c r="K15" s="203" t="str">
        <f>J10</f>
        <v>Equipe 10</v>
      </c>
      <c r="L15" s="168"/>
      <c r="M15" s="30">
        <f>A15</f>
        <v>0.375</v>
      </c>
      <c r="N15" s="31" t="str">
        <f>N9</f>
        <v>Equipe 13</v>
      </c>
      <c r="O15" s="368" t="str">
        <f>N10</f>
        <v>Equipe 14</v>
      </c>
      <c r="P15" s="2"/>
      <c r="Q15" s="32">
        <f>M16+$N$6+"00:02"</f>
        <v>0.39166666666666661</v>
      </c>
      <c r="R15" s="33" t="str">
        <f>R9</f>
        <v>Equipe 17</v>
      </c>
      <c r="S15" s="33" t="str">
        <f>R10</f>
        <v>Equipe 18</v>
      </c>
      <c r="T15" s="76"/>
      <c r="U15" s="34">
        <f>Q16+$N$6+"00:02"</f>
        <v>0.40833333333333321</v>
      </c>
      <c r="V15" s="35" t="str">
        <f>V9</f>
        <v>Equipe 21</v>
      </c>
      <c r="W15" s="203" t="str">
        <f>V10</f>
        <v>Equipe 22</v>
      </c>
    </row>
    <row r="16" spans="1:23" ht="15.75" thickBot="1" x14ac:dyDescent="0.3">
      <c r="A16" s="38">
        <f>A15+$N$6+"00:02"</f>
        <v>0.3833333333333333</v>
      </c>
      <c r="B16" s="39" t="str">
        <f>B11</f>
        <v>Equipe 3</v>
      </c>
      <c r="C16" s="252" t="str">
        <f>B12</f>
        <v>Equipe 4</v>
      </c>
      <c r="D16" s="2"/>
      <c r="E16" s="40">
        <f>E15+$N$6+"00:02"</f>
        <v>0.39999999999999991</v>
      </c>
      <c r="F16" s="41" t="str">
        <f>F11</f>
        <v>Equipe 7</v>
      </c>
      <c r="G16" s="41" t="str">
        <f>F12</f>
        <v>Equipe 8</v>
      </c>
      <c r="H16" s="76"/>
      <c r="I16" s="42">
        <f>I15+N6+"00:02"</f>
        <v>0.41666666666666652</v>
      </c>
      <c r="J16" s="43" t="str">
        <f>J11</f>
        <v>Equipe 11</v>
      </c>
      <c r="K16" s="204" t="str">
        <f>J12</f>
        <v>Equipe 12</v>
      </c>
      <c r="L16" s="168"/>
      <c r="M16" s="38">
        <f>M15+$N$6+"00:02"</f>
        <v>0.3833333333333333</v>
      </c>
      <c r="N16" s="39" t="str">
        <f>N11</f>
        <v>Equipe 15</v>
      </c>
      <c r="O16" s="252" t="str">
        <f>N12</f>
        <v>Equipe 16</v>
      </c>
      <c r="P16" s="2"/>
      <c r="Q16" s="40">
        <f>Q15+$N$6+"00:02"</f>
        <v>0.39999999999999991</v>
      </c>
      <c r="R16" s="41" t="str">
        <f>R11</f>
        <v>Equipe 19</v>
      </c>
      <c r="S16" s="41" t="str">
        <f>R12</f>
        <v>Equipe 20</v>
      </c>
      <c r="T16" s="76"/>
      <c r="U16" s="42">
        <f>U15+Z6+"00:02"</f>
        <v>0.4097222222222221</v>
      </c>
      <c r="V16" s="43" t="str">
        <f>V11</f>
        <v>Equipe 23</v>
      </c>
      <c r="W16" s="204" t="str">
        <f>V12</f>
        <v>Equipe 24</v>
      </c>
    </row>
    <row r="17" spans="1:23" ht="5.0999999999999996" customHeight="1" thickBot="1" x14ac:dyDescent="0.3">
      <c r="A17" s="19"/>
      <c r="B17" s="2"/>
      <c r="C17" s="2"/>
      <c r="D17" s="2"/>
      <c r="E17" s="2"/>
      <c r="F17" s="2"/>
      <c r="G17" s="47"/>
      <c r="H17" s="85"/>
      <c r="I17" s="2"/>
      <c r="J17" s="2"/>
      <c r="K17" s="21"/>
      <c r="L17" s="168"/>
      <c r="M17" s="19"/>
      <c r="N17" s="2"/>
      <c r="O17" s="2"/>
      <c r="P17" s="2"/>
      <c r="Q17" s="2"/>
      <c r="R17" s="2"/>
      <c r="S17" s="47"/>
      <c r="T17" s="85"/>
      <c r="U17" s="2"/>
      <c r="V17" s="2"/>
      <c r="W17" s="21"/>
    </row>
    <row r="18" spans="1:23" s="29" customFormat="1" x14ac:dyDescent="0.25">
      <c r="A18" s="24"/>
      <c r="B18" s="713" t="s">
        <v>6</v>
      </c>
      <c r="C18" s="714"/>
      <c r="D18" s="25"/>
      <c r="E18" s="26"/>
      <c r="F18" s="715" t="s">
        <v>6</v>
      </c>
      <c r="G18" s="715"/>
      <c r="H18" s="77"/>
      <c r="I18" s="27"/>
      <c r="J18" s="786" t="s">
        <v>6</v>
      </c>
      <c r="K18" s="787"/>
      <c r="L18" s="167"/>
      <c r="M18" s="24"/>
      <c r="N18" s="713" t="s">
        <v>6</v>
      </c>
      <c r="O18" s="714"/>
      <c r="P18" s="25"/>
      <c r="Q18" s="26"/>
      <c r="R18" s="715" t="s">
        <v>6</v>
      </c>
      <c r="S18" s="715"/>
      <c r="T18" s="77"/>
      <c r="U18" s="27"/>
      <c r="V18" s="786" t="s">
        <v>6</v>
      </c>
      <c r="W18" s="787"/>
    </row>
    <row r="19" spans="1:23" x14ac:dyDescent="0.25">
      <c r="A19" s="30">
        <f>I16+$N$6+"00:02"</f>
        <v>0.42499999999999982</v>
      </c>
      <c r="B19" s="31" t="str">
        <f>B9</f>
        <v>Equipe 1</v>
      </c>
      <c r="C19" s="368" t="str">
        <f>B11</f>
        <v>Equipe 3</v>
      </c>
      <c r="D19" s="2"/>
      <c r="E19" s="32">
        <f>A20+$N$6+"00:02"</f>
        <v>0.44166666666666643</v>
      </c>
      <c r="F19" s="33" t="str">
        <f>F9</f>
        <v>Equipe 5</v>
      </c>
      <c r="G19" s="33" t="str">
        <f>F11</f>
        <v>Equipe 7</v>
      </c>
      <c r="H19" s="76"/>
      <c r="I19" s="34">
        <f>E20+$N$6+"00:02"</f>
        <v>0.45833333333333304</v>
      </c>
      <c r="J19" s="35" t="str">
        <f>J9</f>
        <v>Equipe 9</v>
      </c>
      <c r="K19" s="203" t="str">
        <f>J11</f>
        <v>Equipe 11</v>
      </c>
      <c r="L19" s="168"/>
      <c r="M19" s="30">
        <f>A19</f>
        <v>0.42499999999999982</v>
      </c>
      <c r="N19" s="31" t="str">
        <f>N9</f>
        <v>Equipe 13</v>
      </c>
      <c r="O19" s="368" t="str">
        <f>N11</f>
        <v>Equipe 15</v>
      </c>
      <c r="P19" s="2"/>
      <c r="Q19" s="32">
        <f>M20+$N$6+"00:02"</f>
        <v>0.44166666666666643</v>
      </c>
      <c r="R19" s="33" t="str">
        <f>R9</f>
        <v>Equipe 17</v>
      </c>
      <c r="S19" s="33" t="str">
        <f>R11</f>
        <v>Equipe 19</v>
      </c>
      <c r="T19" s="76"/>
      <c r="U19" s="34">
        <f>Q20+$N$6+"00:02"</f>
        <v>0.45833333333333304</v>
      </c>
      <c r="V19" s="35" t="str">
        <f>V9</f>
        <v>Equipe 21</v>
      </c>
      <c r="W19" s="203" t="str">
        <f>V11</f>
        <v>Equipe 23</v>
      </c>
    </row>
    <row r="20" spans="1:23" ht="15.75" thickBot="1" x14ac:dyDescent="0.3">
      <c r="A20" s="38">
        <f>A19+$N$6+"00:02"</f>
        <v>0.43333333333333313</v>
      </c>
      <c r="B20" s="39" t="str">
        <f>B10</f>
        <v>Equipe 2</v>
      </c>
      <c r="C20" s="252" t="str">
        <f>B12</f>
        <v>Equipe 4</v>
      </c>
      <c r="D20" s="2"/>
      <c r="E20" s="40">
        <f>E19+$N$6+"00:02"</f>
        <v>0.44999999999999973</v>
      </c>
      <c r="F20" s="41" t="str">
        <f>F10</f>
        <v>Equipe 6</v>
      </c>
      <c r="G20" s="41" t="str">
        <f>F12</f>
        <v>Equipe 8</v>
      </c>
      <c r="H20" s="76"/>
      <c r="I20" s="42">
        <f>I19+$N$6+"00:02"</f>
        <v>0.46666666666666634</v>
      </c>
      <c r="J20" s="43" t="str">
        <f>J10</f>
        <v>Equipe 10</v>
      </c>
      <c r="K20" s="204" t="str">
        <f>J12</f>
        <v>Equipe 12</v>
      </c>
      <c r="L20" s="168"/>
      <c r="M20" s="38">
        <f>M19+$N$6+"00:02"</f>
        <v>0.43333333333333313</v>
      </c>
      <c r="N20" s="39" t="str">
        <f>N10</f>
        <v>Equipe 14</v>
      </c>
      <c r="O20" s="252" t="str">
        <f>N12</f>
        <v>Equipe 16</v>
      </c>
      <c r="P20" s="2"/>
      <c r="Q20" s="40">
        <f>Q19+$N$6+"00:02"</f>
        <v>0.44999999999999973</v>
      </c>
      <c r="R20" s="41" t="str">
        <f>R10</f>
        <v>Equipe 18</v>
      </c>
      <c r="S20" s="41" t="str">
        <f>R12</f>
        <v>Equipe 20</v>
      </c>
      <c r="T20" s="76"/>
      <c r="U20" s="42">
        <f>U19+$N$6+"00:02"</f>
        <v>0.46666666666666634</v>
      </c>
      <c r="V20" s="43" t="str">
        <f>V10</f>
        <v>Equipe 22</v>
      </c>
      <c r="W20" s="204" t="str">
        <f>V12</f>
        <v>Equipe 24</v>
      </c>
    </row>
    <row r="21" spans="1:23" ht="5.0999999999999996" customHeight="1" thickBot="1" x14ac:dyDescent="0.3">
      <c r="A21" s="19"/>
      <c r="B21" s="2"/>
      <c r="C21" s="2"/>
      <c r="D21" s="2"/>
      <c r="E21" s="2"/>
      <c r="F21" s="2"/>
      <c r="G21" s="47"/>
      <c r="H21" s="85"/>
      <c r="I21" s="2"/>
      <c r="J21" s="2"/>
      <c r="K21" s="21"/>
      <c r="L21" s="168"/>
      <c r="M21" s="19"/>
      <c r="N21" s="2"/>
      <c r="O21" s="2"/>
      <c r="P21" s="2"/>
      <c r="Q21" s="2"/>
      <c r="R21" s="2"/>
      <c r="S21" s="47"/>
      <c r="T21" s="85"/>
      <c r="U21" s="2"/>
      <c r="V21" s="2"/>
      <c r="W21" s="21"/>
    </row>
    <row r="22" spans="1:23" s="29" customFormat="1" x14ac:dyDescent="0.25">
      <c r="A22" s="24"/>
      <c r="B22" s="713" t="s">
        <v>7</v>
      </c>
      <c r="C22" s="714"/>
      <c r="D22" s="25"/>
      <c r="E22" s="26"/>
      <c r="F22" s="715" t="s">
        <v>7</v>
      </c>
      <c r="G22" s="715"/>
      <c r="H22" s="77"/>
      <c r="I22" s="27"/>
      <c r="J22" s="786" t="s">
        <v>7</v>
      </c>
      <c r="K22" s="787"/>
      <c r="L22" s="167"/>
      <c r="M22" s="24"/>
      <c r="N22" s="713" t="s">
        <v>7</v>
      </c>
      <c r="O22" s="714"/>
      <c r="P22" s="25"/>
      <c r="Q22" s="26"/>
      <c r="R22" s="715" t="s">
        <v>7</v>
      </c>
      <c r="S22" s="715"/>
      <c r="T22" s="77"/>
      <c r="U22" s="27"/>
      <c r="V22" s="786" t="s">
        <v>7</v>
      </c>
      <c r="W22" s="787"/>
    </row>
    <row r="23" spans="1:23" x14ac:dyDescent="0.25">
      <c r="A23" s="30">
        <f>I20+$N$6+"00:02"</f>
        <v>0.47499999999999964</v>
      </c>
      <c r="B23" s="31" t="str">
        <f>B9</f>
        <v>Equipe 1</v>
      </c>
      <c r="C23" s="368" t="str">
        <f>B12</f>
        <v>Equipe 4</v>
      </c>
      <c r="D23" s="2"/>
      <c r="E23" s="32">
        <f>A24+$N$6+"00:02"</f>
        <v>0.49166666666666625</v>
      </c>
      <c r="F23" s="33" t="str">
        <f>F9</f>
        <v>Equipe 5</v>
      </c>
      <c r="G23" s="33" t="str">
        <f>F12</f>
        <v>Equipe 8</v>
      </c>
      <c r="H23" s="76"/>
      <c r="I23" s="34">
        <f>E24+N6+"00:02"</f>
        <v>0.50833333333333286</v>
      </c>
      <c r="J23" s="35" t="str">
        <f>J9</f>
        <v>Equipe 9</v>
      </c>
      <c r="K23" s="203" t="str">
        <f>J12</f>
        <v>Equipe 12</v>
      </c>
      <c r="L23" s="168"/>
      <c r="M23" s="30">
        <f>U20+$N$6+"00:02"</f>
        <v>0.47499999999999964</v>
      </c>
      <c r="N23" s="31" t="str">
        <f>N9</f>
        <v>Equipe 13</v>
      </c>
      <c r="O23" s="368" t="str">
        <f>N12</f>
        <v>Equipe 16</v>
      </c>
      <c r="P23" s="2"/>
      <c r="Q23" s="32">
        <f>M24+$N$6+"00:02"</f>
        <v>0.49166666666666625</v>
      </c>
      <c r="R23" s="33" t="str">
        <f>R9</f>
        <v>Equipe 17</v>
      </c>
      <c r="S23" s="33" t="str">
        <f>R12</f>
        <v>Equipe 20</v>
      </c>
      <c r="T23" s="76"/>
      <c r="U23" s="34">
        <f>Q24+$N$6+"00:02"</f>
        <v>0.50833333333333286</v>
      </c>
      <c r="V23" s="35" t="str">
        <f>V9</f>
        <v>Equipe 21</v>
      </c>
      <c r="W23" s="203" t="str">
        <f>V12</f>
        <v>Equipe 24</v>
      </c>
    </row>
    <row r="24" spans="1:23" ht="15.75" thickBot="1" x14ac:dyDescent="0.3">
      <c r="A24" s="38">
        <f>A23+$N$6+"00:02"</f>
        <v>0.48333333333333295</v>
      </c>
      <c r="B24" s="39" t="str">
        <f>B10</f>
        <v>Equipe 2</v>
      </c>
      <c r="C24" s="252" t="str">
        <f>B11</f>
        <v>Equipe 3</v>
      </c>
      <c r="D24" s="47"/>
      <c r="E24" s="40">
        <f>E23+$N$6+"00:02"</f>
        <v>0.49999999999999956</v>
      </c>
      <c r="F24" s="41" t="str">
        <f>F10</f>
        <v>Equipe 6</v>
      </c>
      <c r="G24" s="41" t="str">
        <f>F11</f>
        <v>Equipe 7</v>
      </c>
      <c r="H24" s="78"/>
      <c r="I24" s="42">
        <f>I23+N6+"00:02"</f>
        <v>0.51666666666666616</v>
      </c>
      <c r="J24" s="43" t="str">
        <f>J10</f>
        <v>Equipe 10</v>
      </c>
      <c r="K24" s="204" t="str">
        <f>J11</f>
        <v>Equipe 11</v>
      </c>
      <c r="L24" s="222"/>
      <c r="M24" s="38">
        <f>M23+$N$6+"00:02"</f>
        <v>0.48333333333333295</v>
      </c>
      <c r="N24" s="39" t="str">
        <f>N10</f>
        <v>Equipe 14</v>
      </c>
      <c r="O24" s="252" t="str">
        <f>N11</f>
        <v>Equipe 15</v>
      </c>
      <c r="P24" s="47"/>
      <c r="Q24" s="40">
        <f>Q23+$N$6+"00:02"</f>
        <v>0.49999999999999956</v>
      </c>
      <c r="R24" s="41" t="str">
        <f>R10</f>
        <v>Equipe 18</v>
      </c>
      <c r="S24" s="41" t="str">
        <f>R11</f>
        <v>Equipe 19</v>
      </c>
      <c r="T24" s="78"/>
      <c r="U24" s="42">
        <f>U23+$N$6+"00:02"</f>
        <v>0.51666666666666616</v>
      </c>
      <c r="V24" s="43" t="str">
        <f>V10</f>
        <v>Equipe 22</v>
      </c>
      <c r="W24" s="204" t="str">
        <f>V11</f>
        <v>Equipe 23</v>
      </c>
    </row>
    <row r="25" spans="1:23" ht="25.35" customHeight="1" thickBot="1" x14ac:dyDescent="0.3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</row>
    <row r="26" spans="1:23" ht="16.5" thickBot="1" x14ac:dyDescent="0.3">
      <c r="A26" s="701" t="s">
        <v>90</v>
      </c>
      <c r="B26" s="685"/>
      <c r="C26" s="685"/>
      <c r="D26" s="685"/>
      <c r="E26" s="685"/>
      <c r="F26" s="685"/>
      <c r="G26" s="685"/>
      <c r="H26" s="685"/>
      <c r="I26" s="685"/>
      <c r="J26" s="685"/>
      <c r="K26" s="685" t="s">
        <v>18</v>
      </c>
      <c r="L26" s="685"/>
      <c r="M26" s="685"/>
      <c r="N26" s="127">
        <v>6.9444444444444441E-3</v>
      </c>
      <c r="O26" s="128" t="s">
        <v>17</v>
      </c>
      <c r="P26" s="189"/>
      <c r="Q26" s="128"/>
      <c r="R26" s="20"/>
      <c r="S26" s="20"/>
      <c r="T26" s="20"/>
      <c r="U26" s="20"/>
      <c r="V26" s="20"/>
      <c r="W26" s="107"/>
    </row>
    <row r="27" spans="1:23" ht="16.5" thickBot="1" x14ac:dyDescent="0.3">
      <c r="A27" s="1052" t="s">
        <v>87</v>
      </c>
      <c r="B27" s="1053"/>
      <c r="C27" s="1053"/>
      <c r="D27" s="1053"/>
      <c r="E27" s="1053"/>
      <c r="F27" s="1053"/>
      <c r="G27" s="1053"/>
      <c r="H27" s="1053"/>
      <c r="I27" s="1053"/>
      <c r="J27" s="1053"/>
      <c r="K27" s="1065"/>
      <c r="L27" s="221"/>
      <c r="M27" s="1052" t="s">
        <v>88</v>
      </c>
      <c r="N27" s="1053"/>
      <c r="O27" s="1053"/>
      <c r="P27" s="1053"/>
      <c r="Q27" s="1053"/>
      <c r="R27" s="1053"/>
      <c r="S27" s="1053"/>
      <c r="T27" s="1053"/>
      <c r="U27" s="1053"/>
      <c r="V27" s="1053"/>
      <c r="W27" s="1065"/>
    </row>
    <row r="28" spans="1:23" x14ac:dyDescent="0.25">
      <c r="A28" s="125"/>
      <c r="B28" s="912" t="s">
        <v>41</v>
      </c>
      <c r="C28" s="914"/>
      <c r="D28" s="102"/>
      <c r="E28" s="124"/>
      <c r="F28" s="915" t="s">
        <v>42</v>
      </c>
      <c r="G28" s="917"/>
      <c r="H28" s="103"/>
      <c r="I28" s="97"/>
      <c r="J28" s="852" t="s">
        <v>43</v>
      </c>
      <c r="K28" s="853"/>
      <c r="L28" s="168"/>
      <c r="M28" s="125"/>
      <c r="N28" s="912" t="s">
        <v>55</v>
      </c>
      <c r="O28" s="914"/>
      <c r="P28" s="102"/>
      <c r="Q28" s="124"/>
      <c r="R28" s="915" t="s">
        <v>91</v>
      </c>
      <c r="S28" s="917"/>
      <c r="T28" s="103"/>
      <c r="U28" s="97"/>
      <c r="V28" s="852" t="s">
        <v>92</v>
      </c>
      <c r="W28" s="853"/>
    </row>
    <row r="29" spans="1:23" x14ac:dyDescent="0.25">
      <c r="A29" s="10">
        <v>1</v>
      </c>
      <c r="B29" s="905" t="str">
        <f>B9</f>
        <v>Equipe 1</v>
      </c>
      <c r="C29" s="1005"/>
      <c r="D29" s="103"/>
      <c r="E29" s="11">
        <v>1</v>
      </c>
      <c r="F29" s="907" t="s">
        <v>26</v>
      </c>
      <c r="G29" s="1001"/>
      <c r="H29" s="103"/>
      <c r="I29" s="12">
        <v>1</v>
      </c>
      <c r="J29" s="844" t="s">
        <v>37</v>
      </c>
      <c r="K29" s="1006"/>
      <c r="L29" s="168"/>
      <c r="M29" s="10">
        <v>1</v>
      </c>
      <c r="N29" s="905" t="str">
        <f>N9</f>
        <v>Equipe 13</v>
      </c>
      <c r="O29" s="1005"/>
      <c r="P29" s="103"/>
      <c r="Q29" s="11">
        <v>1</v>
      </c>
      <c r="R29" s="907" t="str">
        <f>R9</f>
        <v>Equipe 17</v>
      </c>
      <c r="S29" s="1001"/>
      <c r="T29" s="103"/>
      <c r="U29" s="12">
        <v>1</v>
      </c>
      <c r="V29" s="844" t="str">
        <f>V9</f>
        <v>Equipe 21</v>
      </c>
      <c r="W29" s="1006"/>
    </row>
    <row r="30" spans="1:23" x14ac:dyDescent="0.25">
      <c r="A30" s="10">
        <v>2</v>
      </c>
      <c r="B30" s="905" t="str">
        <f>F10</f>
        <v>Equipe 6</v>
      </c>
      <c r="C30" s="1005"/>
      <c r="D30" s="103"/>
      <c r="E30" s="11">
        <v>2</v>
      </c>
      <c r="F30" s="907" t="str">
        <f>J10</f>
        <v>Equipe 10</v>
      </c>
      <c r="G30" s="1001"/>
      <c r="H30" s="103"/>
      <c r="I30" s="12">
        <v>2</v>
      </c>
      <c r="J30" s="844" t="str">
        <f>N10</f>
        <v>Equipe 14</v>
      </c>
      <c r="K30" s="1006"/>
      <c r="L30" s="168"/>
      <c r="M30" s="10">
        <v>2</v>
      </c>
      <c r="N30" s="905" t="str">
        <f>R10</f>
        <v>Equipe 18</v>
      </c>
      <c r="O30" s="1005"/>
      <c r="P30" s="103"/>
      <c r="Q30" s="11">
        <v>2</v>
      </c>
      <c r="R30" s="907" t="str">
        <f>V10</f>
        <v>Equipe 22</v>
      </c>
      <c r="S30" s="1001"/>
      <c r="T30" s="103"/>
      <c r="U30" s="12">
        <v>2</v>
      </c>
      <c r="V30" s="844" t="str">
        <f>B10</f>
        <v>Equipe 2</v>
      </c>
      <c r="W30" s="1006"/>
    </row>
    <row r="31" spans="1:23" x14ac:dyDescent="0.25">
      <c r="A31" s="10">
        <v>3</v>
      </c>
      <c r="B31" s="905" t="str">
        <f>J11</f>
        <v>Equipe 11</v>
      </c>
      <c r="C31" s="1005"/>
      <c r="D31" s="103"/>
      <c r="E31" s="11">
        <v>3</v>
      </c>
      <c r="F31" s="907" t="str">
        <f>N11</f>
        <v>Equipe 15</v>
      </c>
      <c r="G31" s="1001"/>
      <c r="H31" s="103"/>
      <c r="I31" s="12">
        <v>3</v>
      </c>
      <c r="J31" s="844" t="str">
        <f>R11</f>
        <v>Equipe 19</v>
      </c>
      <c r="K31" s="1006"/>
      <c r="L31" s="168"/>
      <c r="M31" s="10">
        <v>3</v>
      </c>
      <c r="N31" s="905" t="str">
        <f>V11</f>
        <v>Equipe 23</v>
      </c>
      <c r="O31" s="1005"/>
      <c r="P31" s="103"/>
      <c r="Q31" s="11">
        <v>3</v>
      </c>
      <c r="R31" s="907" t="str">
        <f>B11</f>
        <v>Equipe 3</v>
      </c>
      <c r="S31" s="1001"/>
      <c r="T31" s="103"/>
      <c r="U31" s="12">
        <v>3</v>
      </c>
      <c r="V31" s="844" t="str">
        <f>F11</f>
        <v>Equipe 7</v>
      </c>
      <c r="W31" s="1006"/>
    </row>
    <row r="32" spans="1:23" ht="15.75" thickBot="1" x14ac:dyDescent="0.3">
      <c r="A32" s="15">
        <v>4</v>
      </c>
      <c r="B32" s="901" t="str">
        <f>N12</f>
        <v>Equipe 16</v>
      </c>
      <c r="C32" s="1002"/>
      <c r="D32" s="103"/>
      <c r="E32" s="16">
        <v>4</v>
      </c>
      <c r="F32" s="903" t="str">
        <f>R12</f>
        <v>Equipe 20</v>
      </c>
      <c r="G32" s="1003"/>
      <c r="H32" s="103"/>
      <c r="I32" s="17">
        <v>4</v>
      </c>
      <c r="J32" s="846" t="str">
        <f>V12</f>
        <v>Equipe 24</v>
      </c>
      <c r="K32" s="1004"/>
      <c r="L32" s="168"/>
      <c r="M32" s="15">
        <v>4</v>
      </c>
      <c r="N32" s="901" t="str">
        <f>B12</f>
        <v>Equipe 4</v>
      </c>
      <c r="O32" s="1002"/>
      <c r="P32" s="103"/>
      <c r="Q32" s="16">
        <v>4</v>
      </c>
      <c r="R32" s="903" t="s">
        <v>29</v>
      </c>
      <c r="S32" s="1003"/>
      <c r="T32" s="103"/>
      <c r="U32" s="17">
        <v>4</v>
      </c>
      <c r="V32" s="846" t="str">
        <f>J12</f>
        <v>Equipe 12</v>
      </c>
      <c r="W32" s="1004"/>
    </row>
    <row r="33" spans="1:23" ht="5.0999999999999996" customHeight="1" thickBot="1" x14ac:dyDescent="0.3">
      <c r="A33" s="19"/>
      <c r="B33" s="2"/>
      <c r="C33" s="2"/>
      <c r="D33" s="2"/>
      <c r="E33" s="2"/>
      <c r="F33" s="2"/>
      <c r="G33" s="22"/>
      <c r="H33" s="85"/>
      <c r="I33" s="2"/>
      <c r="J33" s="2"/>
      <c r="K33" s="21"/>
      <c r="L33" s="168"/>
      <c r="M33" s="19"/>
      <c r="N33" s="2"/>
      <c r="O33" s="2"/>
      <c r="P33" s="2"/>
      <c r="Q33" s="2"/>
      <c r="R33" s="2"/>
      <c r="S33" s="22"/>
      <c r="T33" s="85"/>
      <c r="U33" s="2"/>
      <c r="V33" s="2"/>
      <c r="W33" s="21"/>
    </row>
    <row r="34" spans="1:23" x14ac:dyDescent="0.25">
      <c r="A34" s="24"/>
      <c r="B34" s="713" t="s">
        <v>10</v>
      </c>
      <c r="C34" s="714"/>
      <c r="D34" s="25"/>
      <c r="E34" s="26"/>
      <c r="F34" s="715" t="s">
        <v>10</v>
      </c>
      <c r="G34" s="715"/>
      <c r="H34" s="77"/>
      <c r="I34" s="27"/>
      <c r="J34" s="786" t="s">
        <v>10</v>
      </c>
      <c r="K34" s="787"/>
      <c r="L34" s="168"/>
      <c r="M34" s="24"/>
      <c r="N34" s="713" t="s">
        <v>10</v>
      </c>
      <c r="O34" s="714"/>
      <c r="P34" s="25"/>
      <c r="Q34" s="26"/>
      <c r="R34" s="715" t="s">
        <v>10</v>
      </c>
      <c r="S34" s="715"/>
      <c r="T34" s="77"/>
      <c r="U34" s="27"/>
      <c r="V34" s="786" t="s">
        <v>10</v>
      </c>
      <c r="W34" s="787"/>
    </row>
    <row r="35" spans="1:23" x14ac:dyDescent="0.25">
      <c r="A35" s="30">
        <f>I24+N6+"00:02"+L5</f>
        <v>0.52499999999999947</v>
      </c>
      <c r="B35" s="31" t="str">
        <f>B29</f>
        <v>Equipe 1</v>
      </c>
      <c r="C35" s="368" t="str">
        <f>B30</f>
        <v>Equipe 6</v>
      </c>
      <c r="D35" s="2"/>
      <c r="E35" s="32">
        <f>A36+$N$6+"00:02"</f>
        <v>0.54166666666666607</v>
      </c>
      <c r="F35" s="33" t="str">
        <f>F29</f>
        <v>Equipe 5</v>
      </c>
      <c r="G35" s="33" t="str">
        <f>F30</f>
        <v>Equipe 10</v>
      </c>
      <c r="H35" s="76"/>
      <c r="I35" s="34">
        <f>E36+$N$6+"00:02"</f>
        <v>0.55833333333333268</v>
      </c>
      <c r="J35" s="35" t="str">
        <f>J29</f>
        <v>Equipe 9</v>
      </c>
      <c r="K35" s="203" t="str">
        <f>J30</f>
        <v>Equipe 14</v>
      </c>
      <c r="L35" s="168"/>
      <c r="M35" s="30">
        <f>A35</f>
        <v>0.52499999999999947</v>
      </c>
      <c r="N35" s="31" t="str">
        <f>N29</f>
        <v>Equipe 13</v>
      </c>
      <c r="O35" s="368" t="str">
        <f>N30</f>
        <v>Equipe 18</v>
      </c>
      <c r="P35" s="2"/>
      <c r="Q35" s="32">
        <f>M36+$N$6+"00:02"</f>
        <v>0.54166666666666607</v>
      </c>
      <c r="R35" s="33" t="str">
        <f>R29</f>
        <v>Equipe 17</v>
      </c>
      <c r="S35" s="33" t="str">
        <f>R30</f>
        <v>Equipe 22</v>
      </c>
      <c r="T35" s="76"/>
      <c r="U35" s="34">
        <f>Q36+$N$6+"00:02"</f>
        <v>0.55833333333333268</v>
      </c>
      <c r="V35" s="35" t="str">
        <f>V29</f>
        <v>Equipe 21</v>
      </c>
      <c r="W35" s="203" t="str">
        <f>V30</f>
        <v>Equipe 2</v>
      </c>
    </row>
    <row r="36" spans="1:23" ht="15.75" thickBot="1" x14ac:dyDescent="0.3">
      <c r="A36" s="38">
        <f>A35+$N$6+"00:02"</f>
        <v>0.53333333333333277</v>
      </c>
      <c r="B36" s="39" t="str">
        <f>B31</f>
        <v>Equipe 11</v>
      </c>
      <c r="C36" s="252" t="str">
        <f>B32</f>
        <v>Equipe 16</v>
      </c>
      <c r="D36" s="2"/>
      <c r="E36" s="40">
        <f>E35+$N$6+"00:02"</f>
        <v>0.54999999999999938</v>
      </c>
      <c r="F36" s="41" t="str">
        <f>F31</f>
        <v>Equipe 15</v>
      </c>
      <c r="G36" s="41" t="str">
        <f>F32</f>
        <v>Equipe 20</v>
      </c>
      <c r="H36" s="76"/>
      <c r="I36" s="42">
        <f>I35+G26+"00:02"</f>
        <v>0.55972222222222157</v>
      </c>
      <c r="J36" s="43" t="str">
        <f>J31</f>
        <v>Equipe 19</v>
      </c>
      <c r="K36" s="204" t="str">
        <f>J32</f>
        <v>Equipe 24</v>
      </c>
      <c r="L36" s="168"/>
      <c r="M36" s="38">
        <f>M35+$N$6+"00:02"</f>
        <v>0.53333333333333277</v>
      </c>
      <c r="N36" s="39" t="str">
        <f>N31</f>
        <v>Equipe 23</v>
      </c>
      <c r="O36" s="252" t="str">
        <f>N32</f>
        <v>Equipe 4</v>
      </c>
      <c r="P36" s="2"/>
      <c r="Q36" s="40">
        <f>Q35+$N$6+"00:02"</f>
        <v>0.54999999999999938</v>
      </c>
      <c r="R36" s="41" t="str">
        <f>R31</f>
        <v>Equipe 3</v>
      </c>
      <c r="S36" s="41" t="str">
        <f>R32</f>
        <v>Equipe 8</v>
      </c>
      <c r="T36" s="76"/>
      <c r="U36" s="42">
        <f>U35+S26+"00:02"</f>
        <v>0.55972222222222157</v>
      </c>
      <c r="V36" s="43" t="str">
        <f>V31</f>
        <v>Equipe 7</v>
      </c>
      <c r="W36" s="204" t="str">
        <f>V32</f>
        <v>Equipe 12</v>
      </c>
    </row>
    <row r="37" spans="1:23" ht="5.0999999999999996" customHeight="1" thickBot="1" x14ac:dyDescent="0.3">
      <c r="A37" s="19"/>
      <c r="B37" s="2"/>
      <c r="C37" s="2"/>
      <c r="D37" s="2"/>
      <c r="E37" s="2"/>
      <c r="F37" s="2"/>
      <c r="G37" s="47"/>
      <c r="H37" s="85"/>
      <c r="I37" s="2"/>
      <c r="J37" s="2"/>
      <c r="K37" s="21"/>
      <c r="L37" s="168"/>
      <c r="M37" s="19"/>
      <c r="N37" s="2"/>
      <c r="O37" s="2"/>
      <c r="P37" s="2"/>
      <c r="Q37" s="2"/>
      <c r="R37" s="2"/>
      <c r="S37" s="47"/>
      <c r="T37" s="85"/>
      <c r="U37" s="2"/>
      <c r="V37" s="2"/>
      <c r="W37" s="21"/>
    </row>
    <row r="38" spans="1:23" x14ac:dyDescent="0.25">
      <c r="A38" s="24"/>
      <c r="B38" s="713" t="s">
        <v>11</v>
      </c>
      <c r="C38" s="714"/>
      <c r="D38" s="25"/>
      <c r="E38" s="26"/>
      <c r="F38" s="715" t="s">
        <v>11</v>
      </c>
      <c r="G38" s="715"/>
      <c r="H38" s="77"/>
      <c r="I38" s="27"/>
      <c r="J38" s="786" t="s">
        <v>11</v>
      </c>
      <c r="K38" s="787"/>
      <c r="L38" s="168"/>
      <c r="M38" s="24"/>
      <c r="N38" s="713" t="s">
        <v>11</v>
      </c>
      <c r="O38" s="714"/>
      <c r="P38" s="25"/>
      <c r="Q38" s="26"/>
      <c r="R38" s="715" t="s">
        <v>11</v>
      </c>
      <c r="S38" s="715"/>
      <c r="T38" s="77"/>
      <c r="U38" s="27"/>
      <c r="V38" s="786" t="s">
        <v>11</v>
      </c>
      <c r="W38" s="787"/>
    </row>
    <row r="39" spans="1:23" x14ac:dyDescent="0.25">
      <c r="A39" s="30">
        <f>I36+$N$6+"00:02"</f>
        <v>0.56805555555555487</v>
      </c>
      <c r="B39" s="31" t="str">
        <f>B29</f>
        <v>Equipe 1</v>
      </c>
      <c r="C39" s="368" t="str">
        <f>B31</f>
        <v>Equipe 11</v>
      </c>
      <c r="D39" s="2"/>
      <c r="E39" s="32">
        <f>A40+$N$6+"00:02"</f>
        <v>0.58472222222222148</v>
      </c>
      <c r="F39" s="33" t="str">
        <f>F29</f>
        <v>Equipe 5</v>
      </c>
      <c r="G39" s="33" t="str">
        <f>F31</f>
        <v>Equipe 15</v>
      </c>
      <c r="H39" s="76"/>
      <c r="I39" s="34">
        <f>E40+$N$6+"00:02"</f>
        <v>0.60138888888888808</v>
      </c>
      <c r="J39" s="35" t="str">
        <f>J29</f>
        <v>Equipe 9</v>
      </c>
      <c r="K39" s="203" t="str">
        <f>J31</f>
        <v>Equipe 19</v>
      </c>
      <c r="L39" s="168"/>
      <c r="M39" s="30">
        <f>U36+$N$6+"00:02"</f>
        <v>0.56805555555555487</v>
      </c>
      <c r="N39" s="31" t="str">
        <f>N29</f>
        <v>Equipe 13</v>
      </c>
      <c r="O39" s="368" t="str">
        <f>N31</f>
        <v>Equipe 23</v>
      </c>
      <c r="P39" s="2"/>
      <c r="Q39" s="32">
        <f>M40+$N$6+"00:02"</f>
        <v>0.58472222222222148</v>
      </c>
      <c r="R39" s="33" t="str">
        <f>R29</f>
        <v>Equipe 17</v>
      </c>
      <c r="S39" s="33" t="str">
        <f>R31</f>
        <v>Equipe 3</v>
      </c>
      <c r="T39" s="76"/>
      <c r="U39" s="34">
        <f>Q40+$N$6+"00:02"</f>
        <v>0.60138888888888808</v>
      </c>
      <c r="V39" s="35" t="str">
        <f>V29</f>
        <v>Equipe 21</v>
      </c>
      <c r="W39" s="203" t="str">
        <f>V31</f>
        <v>Equipe 7</v>
      </c>
    </row>
    <row r="40" spans="1:23" ht="15.75" thickBot="1" x14ac:dyDescent="0.3">
      <c r="A40" s="38">
        <f>A39+$N$6+"00:02"</f>
        <v>0.57638888888888817</v>
      </c>
      <c r="B40" s="39" t="str">
        <f>B30</f>
        <v>Equipe 6</v>
      </c>
      <c r="C40" s="252" t="str">
        <f>B32</f>
        <v>Equipe 16</v>
      </c>
      <c r="D40" s="2"/>
      <c r="E40" s="40">
        <f>E39+$N$6+"00:02"</f>
        <v>0.59305555555555478</v>
      </c>
      <c r="F40" s="41" t="str">
        <f>F30</f>
        <v>Equipe 10</v>
      </c>
      <c r="G40" s="41" t="str">
        <f>F32</f>
        <v>Equipe 20</v>
      </c>
      <c r="H40" s="76"/>
      <c r="I40" s="42">
        <f>I39+$N$6+"00:02"</f>
        <v>0.60972222222222139</v>
      </c>
      <c r="J40" s="43" t="str">
        <f>J30</f>
        <v>Equipe 14</v>
      </c>
      <c r="K40" s="204" t="str">
        <f>J32</f>
        <v>Equipe 24</v>
      </c>
      <c r="L40" s="168"/>
      <c r="M40" s="38">
        <f>M39+$N$6+"00:02"</f>
        <v>0.57638888888888817</v>
      </c>
      <c r="N40" s="39" t="str">
        <f>N30</f>
        <v>Equipe 18</v>
      </c>
      <c r="O40" s="252" t="str">
        <f>N32</f>
        <v>Equipe 4</v>
      </c>
      <c r="P40" s="2"/>
      <c r="Q40" s="40">
        <f>Q39+$N$6+"00:02"</f>
        <v>0.59305555555555478</v>
      </c>
      <c r="R40" s="41" t="str">
        <f>R30</f>
        <v>Equipe 22</v>
      </c>
      <c r="S40" s="41" t="str">
        <f>R32</f>
        <v>Equipe 8</v>
      </c>
      <c r="T40" s="76"/>
      <c r="U40" s="42">
        <f>U39+$N$6+"00:02"</f>
        <v>0.60972222222222139</v>
      </c>
      <c r="V40" s="43" t="str">
        <f>V30</f>
        <v>Equipe 2</v>
      </c>
      <c r="W40" s="204" t="str">
        <f>V32</f>
        <v>Equipe 12</v>
      </c>
    </row>
    <row r="41" spans="1:23" ht="5.0999999999999996" customHeight="1" thickBot="1" x14ac:dyDescent="0.3">
      <c r="A41" s="19"/>
      <c r="B41" s="2"/>
      <c r="C41" s="2"/>
      <c r="D41" s="2"/>
      <c r="E41" s="2"/>
      <c r="F41" s="2"/>
      <c r="G41" s="47"/>
      <c r="H41" s="85"/>
      <c r="I41" s="2"/>
      <c r="J41" s="2"/>
      <c r="K41" s="21"/>
      <c r="L41" s="168"/>
      <c r="M41" s="19"/>
      <c r="N41" s="2"/>
      <c r="O41" s="2"/>
      <c r="P41" s="2"/>
      <c r="Q41" s="2"/>
      <c r="R41" s="2"/>
      <c r="S41" s="47"/>
      <c r="T41" s="85"/>
      <c r="U41" s="2"/>
      <c r="V41" s="2"/>
      <c r="W41" s="21"/>
    </row>
    <row r="42" spans="1:23" x14ac:dyDescent="0.25">
      <c r="A42" s="24"/>
      <c r="B42" s="713" t="s">
        <v>12</v>
      </c>
      <c r="C42" s="714"/>
      <c r="D42" s="25"/>
      <c r="E42" s="26"/>
      <c r="F42" s="715" t="s">
        <v>12</v>
      </c>
      <c r="G42" s="715"/>
      <c r="H42" s="77"/>
      <c r="I42" s="27"/>
      <c r="J42" s="786" t="s">
        <v>12</v>
      </c>
      <c r="K42" s="787"/>
      <c r="L42" s="168"/>
      <c r="M42" s="24"/>
      <c r="N42" s="713" t="s">
        <v>12</v>
      </c>
      <c r="O42" s="714"/>
      <c r="P42" s="25"/>
      <c r="Q42" s="26"/>
      <c r="R42" s="715" t="s">
        <v>12</v>
      </c>
      <c r="S42" s="715"/>
      <c r="T42" s="77"/>
      <c r="U42" s="27"/>
      <c r="V42" s="786" t="s">
        <v>12</v>
      </c>
      <c r="W42" s="787"/>
    </row>
    <row r="43" spans="1:23" x14ac:dyDescent="0.25">
      <c r="A43" s="30">
        <f>I40+$N$6+"00:02"</f>
        <v>0.61805555555555469</v>
      </c>
      <c r="B43" s="31" t="str">
        <f>B29</f>
        <v>Equipe 1</v>
      </c>
      <c r="C43" s="368" t="str">
        <f>B32</f>
        <v>Equipe 16</v>
      </c>
      <c r="D43" s="2"/>
      <c r="E43" s="32">
        <f>A44+$N$6+"00:02"</f>
        <v>0.6347222222222213</v>
      </c>
      <c r="F43" s="33" t="str">
        <f>F29</f>
        <v>Equipe 5</v>
      </c>
      <c r="G43" s="33" t="str">
        <f>F32</f>
        <v>Equipe 20</v>
      </c>
      <c r="H43" s="76"/>
      <c r="I43" s="34">
        <f>E44+G26+"00:02"</f>
        <v>0.64444444444444349</v>
      </c>
      <c r="J43" s="35" t="str">
        <f>J29</f>
        <v>Equipe 9</v>
      </c>
      <c r="K43" s="203" t="str">
        <f>J32</f>
        <v>Equipe 24</v>
      </c>
      <c r="L43" s="168"/>
      <c r="M43" s="30">
        <f>U40+$N$6+"00:02"</f>
        <v>0.61805555555555469</v>
      </c>
      <c r="N43" s="31" t="str">
        <f>N29</f>
        <v>Equipe 13</v>
      </c>
      <c r="O43" s="368" t="str">
        <f>N32</f>
        <v>Equipe 4</v>
      </c>
      <c r="P43" s="2"/>
      <c r="Q43" s="32">
        <f>M44+$N$6+"00:02"</f>
        <v>0.6347222222222213</v>
      </c>
      <c r="R43" s="33" t="str">
        <f>R29</f>
        <v>Equipe 17</v>
      </c>
      <c r="S43" s="33" t="str">
        <f>R32</f>
        <v>Equipe 8</v>
      </c>
      <c r="T43" s="76"/>
      <c r="U43" s="34">
        <f>Q44+S26+"00:02"</f>
        <v>0.64444444444444349</v>
      </c>
      <c r="V43" s="35" t="str">
        <f>V29</f>
        <v>Equipe 21</v>
      </c>
      <c r="W43" s="203" t="str">
        <f>V32</f>
        <v>Equipe 12</v>
      </c>
    </row>
    <row r="44" spans="1:23" ht="15.75" thickBot="1" x14ac:dyDescent="0.3">
      <c r="A44" s="38">
        <f>A43+$N$6+"00:02"</f>
        <v>0.626388888888888</v>
      </c>
      <c r="B44" s="39" t="str">
        <f>B30</f>
        <v>Equipe 6</v>
      </c>
      <c r="C44" s="252" t="str">
        <f>B31</f>
        <v>Equipe 11</v>
      </c>
      <c r="D44" s="47"/>
      <c r="E44" s="40">
        <f>E43+$N$6+"00:02"</f>
        <v>0.6430555555555546</v>
      </c>
      <c r="F44" s="41" t="str">
        <f>F30</f>
        <v>Equipe 10</v>
      </c>
      <c r="G44" s="41" t="str">
        <f>F31</f>
        <v>Equipe 15</v>
      </c>
      <c r="H44" s="78"/>
      <c r="I44" s="42">
        <f>I43+G26+"00:02"</f>
        <v>0.64583333333333237</v>
      </c>
      <c r="J44" s="43" t="str">
        <f>J30</f>
        <v>Equipe 14</v>
      </c>
      <c r="K44" s="204" t="str">
        <f>J31</f>
        <v>Equipe 19</v>
      </c>
      <c r="L44" s="222"/>
      <c r="M44" s="38">
        <f>M43+$N$6+"00:02"</f>
        <v>0.626388888888888</v>
      </c>
      <c r="N44" s="39" t="str">
        <f>N30</f>
        <v>Equipe 18</v>
      </c>
      <c r="O44" s="252" t="str">
        <f>N31</f>
        <v>Equipe 23</v>
      </c>
      <c r="P44" s="47"/>
      <c r="Q44" s="40">
        <f>Q43+$N$6+"00:02"</f>
        <v>0.6430555555555546</v>
      </c>
      <c r="R44" s="41" t="str">
        <f>R30</f>
        <v>Equipe 22</v>
      </c>
      <c r="S44" s="41" t="str">
        <f>R31</f>
        <v>Equipe 3</v>
      </c>
      <c r="T44" s="78"/>
      <c r="U44" s="42">
        <f>U43+S26+"00:02"</f>
        <v>0.64583333333333237</v>
      </c>
      <c r="V44" s="43" t="str">
        <f>V30</f>
        <v>Equipe 2</v>
      </c>
      <c r="W44" s="204" t="str">
        <f>V31</f>
        <v>Equipe 7</v>
      </c>
    </row>
    <row r="45" spans="1:23" x14ac:dyDescent="0.25">
      <c r="A45" s="137"/>
      <c r="B45" s="138"/>
      <c r="C45" s="138"/>
      <c r="D45" s="85"/>
      <c r="E45" s="137"/>
      <c r="F45" s="138"/>
      <c r="G45" s="138"/>
      <c r="H45" s="85"/>
      <c r="I45" s="137"/>
      <c r="J45" s="138"/>
      <c r="K45" s="138"/>
      <c r="L45" s="85"/>
      <c r="M45" s="137"/>
      <c r="N45" s="138"/>
      <c r="O45" s="138"/>
      <c r="P45" s="85"/>
      <c r="Q45" s="137"/>
      <c r="R45" s="138"/>
      <c r="S45" s="138"/>
      <c r="T45" s="85"/>
      <c r="U45" s="137"/>
      <c r="V45" s="138"/>
      <c r="W45" s="138"/>
    </row>
    <row r="46" spans="1:23" x14ac:dyDescent="0.25">
      <c r="A46" s="694"/>
      <c r="B46" s="694"/>
      <c r="C46" s="694"/>
      <c r="D46" s="694"/>
      <c r="E46" s="694"/>
      <c r="F46" s="694"/>
      <c r="G46" s="694"/>
      <c r="H46" s="694"/>
      <c r="I46" s="694"/>
      <c r="J46" s="694"/>
      <c r="K46" s="694"/>
      <c r="L46" s="223"/>
      <c r="W46" s="382" t="s">
        <v>172</v>
      </c>
    </row>
  </sheetData>
  <sheetProtection sheet="1" scenarios="1" selectLockedCells="1"/>
  <mergeCells count="111">
    <mergeCell ref="R42:S42"/>
    <mergeCell ref="V42:W42"/>
    <mergeCell ref="A26:J26"/>
    <mergeCell ref="K26:M26"/>
    <mergeCell ref="A27:K27"/>
    <mergeCell ref="M27:W27"/>
    <mergeCell ref="R32:S32"/>
    <mergeCell ref="V32:W32"/>
    <mergeCell ref="N34:O34"/>
    <mergeCell ref="R34:S34"/>
    <mergeCell ref="V34:W34"/>
    <mergeCell ref="N38:O38"/>
    <mergeCell ref="R38:S38"/>
    <mergeCell ref="V38:W38"/>
    <mergeCell ref="R29:S29"/>
    <mergeCell ref="V29:W29"/>
    <mergeCell ref="N30:O30"/>
    <mergeCell ref="R30:S30"/>
    <mergeCell ref="V30:W30"/>
    <mergeCell ref="N31:O31"/>
    <mergeCell ref="R31:S31"/>
    <mergeCell ref="V31:W31"/>
    <mergeCell ref="J30:K30"/>
    <mergeCell ref="B31:C31"/>
    <mergeCell ref="R22:S22"/>
    <mergeCell ref="V22:W22"/>
    <mergeCell ref="N28:O28"/>
    <mergeCell ref="R28:S28"/>
    <mergeCell ref="V28:W28"/>
    <mergeCell ref="M7:W7"/>
    <mergeCell ref="N14:O14"/>
    <mergeCell ref="R14:S14"/>
    <mergeCell ref="V14:W14"/>
    <mergeCell ref="N18:O18"/>
    <mergeCell ref="R18:S18"/>
    <mergeCell ref="V18:W18"/>
    <mergeCell ref="R10:S10"/>
    <mergeCell ref="R11:S11"/>
    <mergeCell ref="R12:S12"/>
    <mergeCell ref="V10:W10"/>
    <mergeCell ref="V11:W11"/>
    <mergeCell ref="V12:W12"/>
    <mergeCell ref="V1:W5"/>
    <mergeCell ref="I5:K5"/>
    <mergeCell ref="K6:M6"/>
    <mergeCell ref="A6:J6"/>
    <mergeCell ref="L4:M4"/>
    <mergeCell ref="J4:K4"/>
    <mergeCell ref="R8:S8"/>
    <mergeCell ref="R9:S9"/>
    <mergeCell ref="V8:W8"/>
    <mergeCell ref="V9:W9"/>
    <mergeCell ref="B8:C8"/>
    <mergeCell ref="F8:G8"/>
    <mergeCell ref="J8:K8"/>
    <mergeCell ref="B9:C9"/>
    <mergeCell ref="F9:G9"/>
    <mergeCell ref="J9:K9"/>
    <mergeCell ref="A7:K7"/>
    <mergeCell ref="L5:M5"/>
    <mergeCell ref="A1:U1"/>
    <mergeCell ref="A46:K46"/>
    <mergeCell ref="N8:O8"/>
    <mergeCell ref="N9:O9"/>
    <mergeCell ref="N10:O10"/>
    <mergeCell ref="N11:O11"/>
    <mergeCell ref="N12:O12"/>
    <mergeCell ref="N22:O22"/>
    <mergeCell ref="N29:O29"/>
    <mergeCell ref="N32:O32"/>
    <mergeCell ref="N42:O42"/>
    <mergeCell ref="B38:C38"/>
    <mergeCell ref="F38:G38"/>
    <mergeCell ref="J38:K38"/>
    <mergeCell ref="B42:C42"/>
    <mergeCell ref="F42:G42"/>
    <mergeCell ref="J42:K42"/>
    <mergeCell ref="B32:C32"/>
    <mergeCell ref="F32:G32"/>
    <mergeCell ref="J32:K32"/>
    <mergeCell ref="B34:C34"/>
    <mergeCell ref="F34:G34"/>
    <mergeCell ref="J34:K34"/>
    <mergeCell ref="B30:C30"/>
    <mergeCell ref="F30:G30"/>
    <mergeCell ref="F31:G31"/>
    <mergeCell ref="J31:K31"/>
    <mergeCell ref="B28:C28"/>
    <mergeCell ref="F28:G28"/>
    <mergeCell ref="J28:K28"/>
    <mergeCell ref="B29:C29"/>
    <mergeCell ref="F29:G29"/>
    <mergeCell ref="J29:K29"/>
    <mergeCell ref="B18:C18"/>
    <mergeCell ref="F18:G18"/>
    <mergeCell ref="J18:K18"/>
    <mergeCell ref="B22:C22"/>
    <mergeCell ref="F22:G22"/>
    <mergeCell ref="J22:K22"/>
    <mergeCell ref="B12:C12"/>
    <mergeCell ref="F12:G12"/>
    <mergeCell ref="J12:K12"/>
    <mergeCell ref="B14:C14"/>
    <mergeCell ref="F14:G14"/>
    <mergeCell ref="J14:K14"/>
    <mergeCell ref="B10:C10"/>
    <mergeCell ref="F10:G10"/>
    <mergeCell ref="J10:K10"/>
    <mergeCell ref="B11:C11"/>
    <mergeCell ref="F11:G11"/>
    <mergeCell ref="J11:K11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1" orientation="landscape" horizontalDpi="300" verticalDpi="300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111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220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690"/>
      <c r="V1" s="691"/>
      <c r="W1" s="692"/>
    </row>
    <row r="2" spans="1:23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693"/>
      <c r="V2" s="694"/>
      <c r="W2" s="695"/>
    </row>
    <row r="3" spans="1:23" ht="24.95" customHeight="1" thickBot="1" x14ac:dyDescent="0.3">
      <c r="A3" s="736" t="s">
        <v>13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693"/>
      <c r="V3" s="694"/>
      <c r="W3" s="695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391"/>
      <c r="I4" s="741" t="s">
        <v>54</v>
      </c>
      <c r="J4" s="741"/>
      <c r="K4" s="741"/>
      <c r="L4" s="742">
        <f>(3*J6)+(3*J33)</f>
        <v>3.3333333333333333E-2</v>
      </c>
      <c r="M4" s="742"/>
      <c r="N4" s="264" t="s">
        <v>33</v>
      </c>
      <c r="O4" s="319"/>
      <c r="P4" s="200"/>
      <c r="Q4" s="200"/>
      <c r="R4" s="200"/>
      <c r="S4" s="200"/>
      <c r="T4" s="201"/>
      <c r="U4" s="693"/>
      <c r="V4" s="694"/>
      <c r="W4" s="695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S50-A14+J33+"00:02"</f>
        <v>0.33333333333333215</v>
      </c>
      <c r="F5" s="810"/>
      <c r="G5" s="810"/>
      <c r="H5" s="215"/>
      <c r="I5" s="216" t="s">
        <v>79</v>
      </c>
      <c r="J5" s="216"/>
      <c r="K5" s="216"/>
      <c r="L5" s="687">
        <v>0</v>
      </c>
      <c r="M5" s="688"/>
      <c r="N5" s="215"/>
      <c r="O5" s="47"/>
      <c r="P5" s="47"/>
      <c r="Q5" s="47"/>
      <c r="R5" s="47"/>
      <c r="S5" s="47"/>
      <c r="T5" s="320"/>
      <c r="U5" s="696"/>
      <c r="V5" s="697"/>
      <c r="W5" s="698"/>
    </row>
    <row r="6" spans="1:23" ht="16.5" thickBot="1" x14ac:dyDescent="0.3">
      <c r="A6" s="701" t="s">
        <v>35</v>
      </c>
      <c r="B6" s="685"/>
      <c r="C6" s="685"/>
      <c r="D6" s="685"/>
      <c r="E6" s="685"/>
      <c r="F6" s="685"/>
      <c r="G6" s="685"/>
      <c r="H6" s="685"/>
      <c r="I6" s="392" t="s">
        <v>18</v>
      </c>
      <c r="J6" s="782">
        <v>5.5555555555555558E-3</v>
      </c>
      <c r="K6" s="782"/>
      <c r="L6" s="782"/>
      <c r="M6" s="395" t="s">
        <v>17</v>
      </c>
      <c r="N6" s="392"/>
      <c r="O6" s="686"/>
      <c r="P6" s="686"/>
      <c r="Q6" s="686"/>
      <c r="R6" s="686"/>
      <c r="S6" s="686"/>
      <c r="T6" s="686"/>
      <c r="U6" s="686"/>
      <c r="V6" s="686"/>
      <c r="W6" s="781"/>
    </row>
    <row r="7" spans="1:23" x14ac:dyDescent="0.25">
      <c r="A7" s="6"/>
      <c r="B7" s="744" t="s">
        <v>41</v>
      </c>
      <c r="C7" s="745"/>
      <c r="D7" s="744" t="s">
        <v>15</v>
      </c>
      <c r="E7" s="746"/>
      <c r="F7" s="102"/>
      <c r="G7" s="7"/>
      <c r="H7" s="747" t="s">
        <v>42</v>
      </c>
      <c r="I7" s="748"/>
      <c r="J7" s="747" t="s">
        <v>15</v>
      </c>
      <c r="K7" s="749"/>
      <c r="L7" s="76"/>
      <c r="M7" s="8"/>
      <c r="N7" s="804" t="s">
        <v>43</v>
      </c>
      <c r="O7" s="805"/>
      <c r="P7" s="804" t="s">
        <v>15</v>
      </c>
      <c r="Q7" s="806"/>
      <c r="R7" s="2"/>
      <c r="S7" s="9"/>
      <c r="T7" s="807" t="s">
        <v>55</v>
      </c>
      <c r="U7" s="808"/>
      <c r="V7" s="807" t="s">
        <v>15</v>
      </c>
      <c r="W7" s="809"/>
    </row>
    <row r="8" spans="1:23" x14ac:dyDescent="0.25">
      <c r="A8" s="10">
        <v>1</v>
      </c>
      <c r="B8" s="731" t="s">
        <v>22</v>
      </c>
      <c r="C8" s="732"/>
      <c r="D8" s="725">
        <f>A74+A78+A82+C63/1000000</f>
        <v>0</v>
      </c>
      <c r="E8" s="726"/>
      <c r="F8" s="103"/>
      <c r="G8" s="11">
        <v>1</v>
      </c>
      <c r="H8" s="727" t="s">
        <v>26</v>
      </c>
      <c r="I8" s="728"/>
      <c r="J8" s="729">
        <f>G74+G78+G82+I63/1000000</f>
        <v>0</v>
      </c>
      <c r="K8" s="730"/>
      <c r="L8" s="76"/>
      <c r="M8" s="12">
        <v>1</v>
      </c>
      <c r="N8" s="800" t="s">
        <v>37</v>
      </c>
      <c r="O8" s="801"/>
      <c r="P8" s="802">
        <f>M74+M78+M82+O63/1000000</f>
        <v>0</v>
      </c>
      <c r="Q8" s="803"/>
      <c r="R8" s="2"/>
      <c r="S8" s="13">
        <v>1</v>
      </c>
      <c r="T8" s="796" t="s">
        <v>56</v>
      </c>
      <c r="U8" s="797"/>
      <c r="V8" s="798">
        <f>S74+S78+S82+U63/1000000</f>
        <v>0</v>
      </c>
      <c r="W8" s="799"/>
    </row>
    <row r="9" spans="1:23" x14ac:dyDescent="0.25">
      <c r="A9" s="10">
        <v>2</v>
      </c>
      <c r="B9" s="731" t="s">
        <v>23</v>
      </c>
      <c r="C9" s="732"/>
      <c r="D9" s="725">
        <f>B74+A79+A83+C64/1000000</f>
        <v>0</v>
      </c>
      <c r="E9" s="726"/>
      <c r="F9" s="103"/>
      <c r="G9" s="11">
        <v>2</v>
      </c>
      <c r="H9" s="727" t="s">
        <v>27</v>
      </c>
      <c r="I9" s="728"/>
      <c r="J9" s="729">
        <f>H74+G79+G83+I64/1000000</f>
        <v>0</v>
      </c>
      <c r="K9" s="730"/>
      <c r="L9" s="76"/>
      <c r="M9" s="12">
        <v>2</v>
      </c>
      <c r="N9" s="800" t="s">
        <v>38</v>
      </c>
      <c r="O9" s="801"/>
      <c r="P9" s="802">
        <f>N74+M79+M83+O64/1000000</f>
        <v>0</v>
      </c>
      <c r="Q9" s="803"/>
      <c r="R9" s="2"/>
      <c r="S9" s="13">
        <v>2</v>
      </c>
      <c r="T9" s="796" t="s">
        <v>57</v>
      </c>
      <c r="U9" s="797"/>
      <c r="V9" s="798">
        <f>T74+S79+S83+U64/1000000</f>
        <v>0</v>
      </c>
      <c r="W9" s="799"/>
    </row>
    <row r="10" spans="1:23" x14ac:dyDescent="0.25">
      <c r="A10" s="10">
        <v>3</v>
      </c>
      <c r="B10" s="731" t="s">
        <v>24</v>
      </c>
      <c r="C10" s="732"/>
      <c r="D10" s="725">
        <f>A75+B78+B83+C65/1000000</f>
        <v>0</v>
      </c>
      <c r="E10" s="726"/>
      <c r="F10" s="103"/>
      <c r="G10" s="11">
        <v>3</v>
      </c>
      <c r="H10" s="727" t="s">
        <v>28</v>
      </c>
      <c r="I10" s="728"/>
      <c r="J10" s="729">
        <f>G75+H78+H83+I65/1000000</f>
        <v>0</v>
      </c>
      <c r="K10" s="730"/>
      <c r="L10" s="76"/>
      <c r="M10" s="12">
        <v>3</v>
      </c>
      <c r="N10" s="800" t="s">
        <v>39</v>
      </c>
      <c r="O10" s="801"/>
      <c r="P10" s="802">
        <f>M75+N78+N83+O65/1000000</f>
        <v>0</v>
      </c>
      <c r="Q10" s="803"/>
      <c r="R10" s="2"/>
      <c r="S10" s="13">
        <v>3</v>
      </c>
      <c r="T10" s="796" t="s">
        <v>58</v>
      </c>
      <c r="U10" s="797"/>
      <c r="V10" s="798">
        <f>S75+T78+T83+U65/1000000</f>
        <v>0</v>
      </c>
      <c r="W10" s="799"/>
    </row>
    <row r="11" spans="1:23" ht="15.75" thickBot="1" x14ac:dyDescent="0.3">
      <c r="A11" s="15">
        <v>4</v>
      </c>
      <c r="B11" s="717" t="s">
        <v>25</v>
      </c>
      <c r="C11" s="718"/>
      <c r="D11" s="719">
        <f>B75+B79+B82+C66/1000000</f>
        <v>0</v>
      </c>
      <c r="E11" s="720"/>
      <c r="F11" s="103"/>
      <c r="G11" s="16">
        <v>4</v>
      </c>
      <c r="H11" s="721" t="s">
        <v>29</v>
      </c>
      <c r="I11" s="722"/>
      <c r="J11" s="723">
        <f>H75+H79+H82+I66/1000000</f>
        <v>0</v>
      </c>
      <c r="K11" s="724"/>
      <c r="L11" s="76"/>
      <c r="M11" s="17">
        <v>4</v>
      </c>
      <c r="N11" s="792" t="s">
        <v>40</v>
      </c>
      <c r="O11" s="793"/>
      <c r="P11" s="794">
        <f>N75+N79+N82+O66/1000000</f>
        <v>0</v>
      </c>
      <c r="Q11" s="795"/>
      <c r="R11" s="2"/>
      <c r="S11" s="18">
        <v>4</v>
      </c>
      <c r="T11" s="788" t="s">
        <v>59</v>
      </c>
      <c r="U11" s="789"/>
      <c r="V11" s="790">
        <f>T75+T79+T82+U66/1000000</f>
        <v>0</v>
      </c>
      <c r="W11" s="791"/>
    </row>
    <row r="12" spans="1:23" ht="5.0999999999999996" customHeight="1" thickBot="1" x14ac:dyDescent="0.3">
      <c r="A12" s="19"/>
      <c r="B12" s="2"/>
      <c r="C12" s="2"/>
      <c r="D12" s="2"/>
      <c r="E12" s="2"/>
      <c r="F12" s="2"/>
      <c r="G12" s="2"/>
      <c r="H12" s="2"/>
      <c r="I12" s="22"/>
      <c r="J12" s="2"/>
      <c r="K12" s="2"/>
      <c r="L12" s="85"/>
      <c r="M12" s="2"/>
      <c r="N12" s="2"/>
      <c r="O12" s="2"/>
      <c r="P12" s="2"/>
      <c r="Q12" s="2"/>
      <c r="R12" s="2"/>
      <c r="S12" s="2"/>
      <c r="T12" s="2"/>
      <c r="U12" s="2"/>
      <c r="V12" s="2"/>
      <c r="W12" s="21"/>
    </row>
    <row r="13" spans="1:23" s="29" customFormat="1" x14ac:dyDescent="0.25">
      <c r="A13" s="24"/>
      <c r="B13" s="713" t="s">
        <v>5</v>
      </c>
      <c r="C13" s="713"/>
      <c r="D13" s="713" t="s">
        <v>16</v>
      </c>
      <c r="E13" s="714"/>
      <c r="F13" s="25"/>
      <c r="G13" s="26"/>
      <c r="H13" s="715" t="s">
        <v>5</v>
      </c>
      <c r="I13" s="715"/>
      <c r="J13" s="715" t="s">
        <v>16</v>
      </c>
      <c r="K13" s="716"/>
      <c r="L13" s="77"/>
      <c r="M13" s="27"/>
      <c r="N13" s="786" t="s">
        <v>5</v>
      </c>
      <c r="O13" s="786"/>
      <c r="P13" s="786" t="s">
        <v>16</v>
      </c>
      <c r="Q13" s="787"/>
      <c r="R13" s="25"/>
      <c r="S13" s="28"/>
      <c r="T13" s="784" t="s">
        <v>5</v>
      </c>
      <c r="U13" s="784"/>
      <c r="V13" s="784" t="s">
        <v>16</v>
      </c>
      <c r="W13" s="785"/>
    </row>
    <row r="14" spans="1:23" x14ac:dyDescent="0.25">
      <c r="A14" s="30">
        <f>E4</f>
        <v>0.375</v>
      </c>
      <c r="B14" s="31" t="str">
        <f>B8</f>
        <v>Equipe 1</v>
      </c>
      <c r="C14" s="31" t="str">
        <f>B9</f>
        <v>Equipe 2</v>
      </c>
      <c r="D14" s="53"/>
      <c r="E14" s="54"/>
      <c r="F14" s="2"/>
      <c r="G14" s="32">
        <f>A15+$J$6+"00:02"</f>
        <v>0.38888888888888884</v>
      </c>
      <c r="H14" s="33" t="str">
        <f>H8</f>
        <v>Equipe 5</v>
      </c>
      <c r="I14" s="33" t="str">
        <f>H9</f>
        <v>Equipe 6</v>
      </c>
      <c r="J14" s="57"/>
      <c r="K14" s="58"/>
      <c r="L14" s="76"/>
      <c r="M14" s="34">
        <f>G15+$J$6+"00:02"</f>
        <v>0.40277777777777768</v>
      </c>
      <c r="N14" s="35" t="str">
        <f>N8</f>
        <v>Equipe 9</v>
      </c>
      <c r="O14" s="35" t="str">
        <f>N9</f>
        <v>Equipe 10</v>
      </c>
      <c r="P14" s="61"/>
      <c r="Q14" s="62"/>
      <c r="R14" s="2"/>
      <c r="S14" s="36">
        <f>M15+$J$6+"00:02"</f>
        <v>0.41666666666666652</v>
      </c>
      <c r="T14" s="37" t="str">
        <f>T8</f>
        <v>Equipe 13</v>
      </c>
      <c r="U14" s="37" t="str">
        <f>T9</f>
        <v>Equipe 14</v>
      </c>
      <c r="V14" s="65"/>
      <c r="W14" s="66"/>
    </row>
    <row r="15" spans="1:23" ht="15.75" thickBot="1" x14ac:dyDescent="0.3">
      <c r="A15" s="38">
        <f>A14+$J$6+"00:02"</f>
        <v>0.38194444444444442</v>
      </c>
      <c r="B15" s="39" t="str">
        <f>B10</f>
        <v>Equipe 3</v>
      </c>
      <c r="C15" s="39" t="str">
        <f>B11</f>
        <v>Equipe 4</v>
      </c>
      <c r="D15" s="55"/>
      <c r="E15" s="56"/>
      <c r="F15" s="2"/>
      <c r="G15" s="40">
        <f>G14+$J$6+"00:02"</f>
        <v>0.39583333333333326</v>
      </c>
      <c r="H15" s="41" t="str">
        <f>H10</f>
        <v>Equipe 7</v>
      </c>
      <c r="I15" s="41" t="str">
        <f>H11</f>
        <v>Equipe 8</v>
      </c>
      <c r="J15" s="59"/>
      <c r="K15" s="60"/>
      <c r="L15" s="76"/>
      <c r="M15" s="42">
        <f>M14+$J$6+"00:02"</f>
        <v>0.4097222222222221</v>
      </c>
      <c r="N15" s="43" t="str">
        <f>N10</f>
        <v>Equipe 11</v>
      </c>
      <c r="O15" s="43" t="str">
        <f>N11</f>
        <v>Equipe 12</v>
      </c>
      <c r="P15" s="63"/>
      <c r="Q15" s="64"/>
      <c r="R15" s="2"/>
      <c r="S15" s="44">
        <f>S14+$J$6+"00:02"</f>
        <v>0.42361111111111094</v>
      </c>
      <c r="T15" s="45" t="str">
        <f>T10</f>
        <v>Equipe 15</v>
      </c>
      <c r="U15" s="45" t="str">
        <f>T11</f>
        <v>Equipe 16</v>
      </c>
      <c r="V15" s="67"/>
      <c r="W15" s="68"/>
    </row>
    <row r="16" spans="1:23" ht="5.0999999999999996" customHeight="1" thickBot="1" x14ac:dyDescent="0.3">
      <c r="A16" s="19"/>
      <c r="B16" s="2"/>
      <c r="C16" s="2"/>
      <c r="D16" s="393"/>
      <c r="E16" s="393"/>
      <c r="F16" s="2"/>
      <c r="G16" s="2"/>
      <c r="H16" s="2"/>
      <c r="I16" s="47"/>
      <c r="J16" s="393"/>
      <c r="K16" s="393"/>
      <c r="L16" s="85"/>
      <c r="M16" s="2"/>
      <c r="N16" s="2"/>
      <c r="O16" s="2"/>
      <c r="P16" s="393"/>
      <c r="Q16" s="393"/>
      <c r="R16" s="2"/>
      <c r="S16" s="2"/>
      <c r="T16" s="2"/>
      <c r="U16" s="2"/>
      <c r="V16" s="393"/>
      <c r="W16" s="394"/>
    </row>
    <row r="17" spans="1:23" s="29" customFormat="1" x14ac:dyDescent="0.25">
      <c r="A17" s="24"/>
      <c r="B17" s="713" t="s">
        <v>6</v>
      </c>
      <c r="C17" s="713"/>
      <c r="D17" s="713" t="s">
        <v>16</v>
      </c>
      <c r="E17" s="714"/>
      <c r="F17" s="25"/>
      <c r="G17" s="26"/>
      <c r="H17" s="715" t="s">
        <v>6</v>
      </c>
      <c r="I17" s="715"/>
      <c r="J17" s="715" t="s">
        <v>16</v>
      </c>
      <c r="K17" s="716"/>
      <c r="L17" s="77"/>
      <c r="M17" s="27"/>
      <c r="N17" s="786" t="s">
        <v>6</v>
      </c>
      <c r="O17" s="786"/>
      <c r="P17" s="786" t="s">
        <v>16</v>
      </c>
      <c r="Q17" s="787"/>
      <c r="R17" s="25"/>
      <c r="S17" s="28"/>
      <c r="T17" s="784" t="s">
        <v>6</v>
      </c>
      <c r="U17" s="784"/>
      <c r="V17" s="784" t="s">
        <v>16</v>
      </c>
      <c r="W17" s="785"/>
    </row>
    <row r="18" spans="1:23" x14ac:dyDescent="0.25">
      <c r="A18" s="30">
        <f>S15+$J$6+"00:02"</f>
        <v>0.43055555555555536</v>
      </c>
      <c r="B18" s="31" t="str">
        <f>B8</f>
        <v>Equipe 1</v>
      </c>
      <c r="C18" s="31" t="str">
        <f>B10</f>
        <v>Equipe 3</v>
      </c>
      <c r="D18" s="53"/>
      <c r="E18" s="54"/>
      <c r="F18" s="2"/>
      <c r="G18" s="32">
        <f>A19+$J$6+"00:02"</f>
        <v>0.4444444444444442</v>
      </c>
      <c r="H18" s="33" t="str">
        <f>H8</f>
        <v>Equipe 5</v>
      </c>
      <c r="I18" s="33" t="str">
        <f>H10</f>
        <v>Equipe 7</v>
      </c>
      <c r="J18" s="57"/>
      <c r="K18" s="58"/>
      <c r="L18" s="76"/>
      <c r="M18" s="34">
        <f>G19+$J$6+"00:02"</f>
        <v>0.45833333333333304</v>
      </c>
      <c r="N18" s="35" t="str">
        <f>N8</f>
        <v>Equipe 9</v>
      </c>
      <c r="O18" s="35" t="str">
        <f>N10</f>
        <v>Equipe 11</v>
      </c>
      <c r="P18" s="61"/>
      <c r="Q18" s="62"/>
      <c r="R18" s="2"/>
      <c r="S18" s="36">
        <f>M19+$J$6+"00:02"</f>
        <v>0.47222222222222188</v>
      </c>
      <c r="T18" s="37" t="str">
        <f>T8</f>
        <v>Equipe 13</v>
      </c>
      <c r="U18" s="37" t="str">
        <f>T10</f>
        <v>Equipe 15</v>
      </c>
      <c r="V18" s="65"/>
      <c r="W18" s="66"/>
    </row>
    <row r="19" spans="1:23" ht="15.75" thickBot="1" x14ac:dyDescent="0.3">
      <c r="A19" s="38">
        <f>A18+$J$6+"00:02"</f>
        <v>0.43749999999999978</v>
      </c>
      <c r="B19" s="39" t="str">
        <f>B9</f>
        <v>Equipe 2</v>
      </c>
      <c r="C19" s="39" t="str">
        <f>B11</f>
        <v>Equipe 4</v>
      </c>
      <c r="D19" s="55"/>
      <c r="E19" s="56"/>
      <c r="F19" s="2"/>
      <c r="G19" s="40">
        <f>G18+$J$6+"00:02"</f>
        <v>0.45138888888888862</v>
      </c>
      <c r="H19" s="41" t="str">
        <f>H9</f>
        <v>Equipe 6</v>
      </c>
      <c r="I19" s="41" t="str">
        <f>H11</f>
        <v>Equipe 8</v>
      </c>
      <c r="J19" s="59"/>
      <c r="K19" s="60"/>
      <c r="L19" s="76"/>
      <c r="M19" s="42">
        <f>M18+$J$6+"00:02"</f>
        <v>0.46527777777777746</v>
      </c>
      <c r="N19" s="43" t="str">
        <f>N9</f>
        <v>Equipe 10</v>
      </c>
      <c r="O19" s="43" t="str">
        <f>N11</f>
        <v>Equipe 12</v>
      </c>
      <c r="P19" s="63"/>
      <c r="Q19" s="64"/>
      <c r="R19" s="2"/>
      <c r="S19" s="44">
        <f>S18+$J$6+"00:02"</f>
        <v>0.4791666666666663</v>
      </c>
      <c r="T19" s="45" t="str">
        <f>T9</f>
        <v>Equipe 14</v>
      </c>
      <c r="U19" s="45" t="str">
        <f>T11</f>
        <v>Equipe 16</v>
      </c>
      <c r="V19" s="67"/>
      <c r="W19" s="68"/>
    </row>
    <row r="20" spans="1:23" ht="5.0999999999999996" customHeight="1" thickBot="1" x14ac:dyDescent="0.3">
      <c r="A20" s="19"/>
      <c r="B20" s="2"/>
      <c r="C20" s="2"/>
      <c r="D20" s="393"/>
      <c r="E20" s="393"/>
      <c r="F20" s="2"/>
      <c r="G20" s="2"/>
      <c r="H20" s="2"/>
      <c r="I20" s="47"/>
      <c r="J20" s="393"/>
      <c r="K20" s="393"/>
      <c r="L20" s="85"/>
      <c r="M20" s="2"/>
      <c r="N20" s="2"/>
      <c r="O20" s="2"/>
      <c r="P20" s="393"/>
      <c r="Q20" s="393"/>
      <c r="R20" s="2"/>
      <c r="S20" s="2"/>
      <c r="T20" s="2"/>
      <c r="U20" s="2"/>
      <c r="V20" s="393"/>
      <c r="W20" s="394"/>
    </row>
    <row r="21" spans="1:23" s="29" customFormat="1" x14ac:dyDescent="0.25">
      <c r="A21" s="24"/>
      <c r="B21" s="713" t="s">
        <v>7</v>
      </c>
      <c r="C21" s="713"/>
      <c r="D21" s="713" t="s">
        <v>16</v>
      </c>
      <c r="E21" s="714"/>
      <c r="F21" s="25"/>
      <c r="G21" s="26"/>
      <c r="H21" s="715" t="s">
        <v>7</v>
      </c>
      <c r="I21" s="715"/>
      <c r="J21" s="715" t="s">
        <v>16</v>
      </c>
      <c r="K21" s="716"/>
      <c r="L21" s="77"/>
      <c r="M21" s="27"/>
      <c r="N21" s="786" t="s">
        <v>7</v>
      </c>
      <c r="O21" s="786"/>
      <c r="P21" s="786" t="s">
        <v>16</v>
      </c>
      <c r="Q21" s="787"/>
      <c r="R21" s="25"/>
      <c r="S21" s="28"/>
      <c r="T21" s="784" t="s">
        <v>7</v>
      </c>
      <c r="U21" s="784"/>
      <c r="V21" s="784" t="s">
        <v>16</v>
      </c>
      <c r="W21" s="785"/>
    </row>
    <row r="22" spans="1:23" x14ac:dyDescent="0.25">
      <c r="A22" s="30">
        <f>S19+$J$6+"00:02"</f>
        <v>0.48611111111111072</v>
      </c>
      <c r="B22" s="31" t="str">
        <f>B8</f>
        <v>Equipe 1</v>
      </c>
      <c r="C22" s="31" t="str">
        <f>B11</f>
        <v>Equipe 4</v>
      </c>
      <c r="D22" s="53"/>
      <c r="E22" s="54"/>
      <c r="F22" s="2"/>
      <c r="G22" s="32">
        <f>A23+$J$6+"00:02"</f>
        <v>0.49999999999999956</v>
      </c>
      <c r="H22" s="33" t="str">
        <f>H8</f>
        <v>Equipe 5</v>
      </c>
      <c r="I22" s="33" t="str">
        <f>H11</f>
        <v>Equipe 8</v>
      </c>
      <c r="J22" s="57"/>
      <c r="K22" s="58"/>
      <c r="L22" s="76"/>
      <c r="M22" s="34">
        <f>G23+$J$6+"00:02"</f>
        <v>0.5138888888888884</v>
      </c>
      <c r="N22" s="35" t="str">
        <f>N8</f>
        <v>Equipe 9</v>
      </c>
      <c r="O22" s="35" t="str">
        <f>N11</f>
        <v>Equipe 12</v>
      </c>
      <c r="P22" s="61"/>
      <c r="Q22" s="62"/>
      <c r="R22" s="2"/>
      <c r="S22" s="36">
        <f>M23+$J$6+"00:02"</f>
        <v>0.52777777777777724</v>
      </c>
      <c r="T22" s="37" t="str">
        <f>T8</f>
        <v>Equipe 13</v>
      </c>
      <c r="U22" s="37" t="str">
        <f>T11</f>
        <v>Equipe 16</v>
      </c>
      <c r="V22" s="65"/>
      <c r="W22" s="66"/>
    </row>
    <row r="23" spans="1:23" ht="15.75" thickBot="1" x14ac:dyDescent="0.3">
      <c r="A23" s="38">
        <f>A22+$J$6+"00:02"</f>
        <v>0.49305555555555514</v>
      </c>
      <c r="B23" s="39" t="str">
        <f>B9</f>
        <v>Equipe 2</v>
      </c>
      <c r="C23" s="39" t="str">
        <f>B10</f>
        <v>Equipe 3</v>
      </c>
      <c r="D23" s="55"/>
      <c r="E23" s="56"/>
      <c r="F23" s="47"/>
      <c r="G23" s="40">
        <f>G22+$J$6+"00:02"</f>
        <v>0.50694444444444398</v>
      </c>
      <c r="H23" s="41" t="str">
        <f>H9</f>
        <v>Equipe 6</v>
      </c>
      <c r="I23" s="41" t="str">
        <f>H10</f>
        <v>Equipe 7</v>
      </c>
      <c r="J23" s="59"/>
      <c r="K23" s="60"/>
      <c r="L23" s="78"/>
      <c r="M23" s="42">
        <f>M22+$J$6+"00:02"</f>
        <v>0.52083333333333282</v>
      </c>
      <c r="N23" s="43" t="str">
        <f>N9</f>
        <v>Equipe 10</v>
      </c>
      <c r="O23" s="43" t="str">
        <f>N10</f>
        <v>Equipe 11</v>
      </c>
      <c r="P23" s="63"/>
      <c r="Q23" s="64"/>
      <c r="R23" s="47"/>
      <c r="S23" s="44">
        <f>S22+$J$6+"00:02"</f>
        <v>0.53472222222222165</v>
      </c>
      <c r="T23" s="45" t="str">
        <f>T9</f>
        <v>Equipe 14</v>
      </c>
      <c r="U23" s="45" t="str">
        <f>T10</f>
        <v>Equipe 15</v>
      </c>
      <c r="V23" s="67"/>
      <c r="W23" s="68"/>
    </row>
    <row r="24" spans="1:23" ht="5.0999999999999996" customHeight="1" thickBot="1" x14ac:dyDescent="0.3">
      <c r="A24" s="118"/>
      <c r="B24" s="119"/>
      <c r="C24" s="119"/>
      <c r="D24" s="173"/>
      <c r="E24" s="173"/>
      <c r="F24" s="89"/>
      <c r="G24" s="120"/>
      <c r="H24" s="119"/>
      <c r="I24" s="119"/>
      <c r="J24" s="173"/>
      <c r="K24" s="173"/>
      <c r="L24" s="89"/>
      <c r="M24" s="120"/>
      <c r="N24" s="119"/>
      <c r="O24" s="119"/>
      <c r="P24" s="173"/>
      <c r="Q24" s="173"/>
      <c r="R24" s="89"/>
      <c r="S24" s="93"/>
      <c r="T24" s="396"/>
      <c r="U24" s="396"/>
      <c r="V24" s="116"/>
      <c r="W24" s="117"/>
    </row>
    <row r="25" spans="1:23" ht="16.5" thickBot="1" x14ac:dyDescent="0.3">
      <c r="A25" s="783" t="s">
        <v>60</v>
      </c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3"/>
    </row>
    <row r="26" spans="1:23" x14ac:dyDescent="0.25">
      <c r="A26" s="81" t="s">
        <v>21</v>
      </c>
      <c r="B26" s="711" t="s">
        <v>41</v>
      </c>
      <c r="C26" s="711"/>
      <c r="D26" s="711" t="s">
        <v>15</v>
      </c>
      <c r="E26" s="712"/>
      <c r="F26" s="122"/>
      <c r="G26" s="81" t="s">
        <v>21</v>
      </c>
      <c r="H26" s="711" t="s">
        <v>42</v>
      </c>
      <c r="I26" s="711"/>
      <c r="J26" s="711" t="s">
        <v>15</v>
      </c>
      <c r="K26" s="712"/>
      <c r="L26" s="75"/>
      <c r="M26" s="81" t="s">
        <v>21</v>
      </c>
      <c r="N26" s="711" t="s">
        <v>43</v>
      </c>
      <c r="O26" s="711"/>
      <c r="P26" s="711" t="s">
        <v>15</v>
      </c>
      <c r="Q26" s="712"/>
      <c r="R26" s="122"/>
      <c r="S26" s="81" t="s">
        <v>21</v>
      </c>
      <c r="T26" s="711" t="s">
        <v>55</v>
      </c>
      <c r="U26" s="711"/>
      <c r="V26" s="711" t="s">
        <v>15</v>
      </c>
      <c r="W26" s="712"/>
    </row>
    <row r="27" spans="1:23" x14ac:dyDescent="0.25">
      <c r="A27" s="49">
        <v>1</v>
      </c>
      <c r="B27" s="680" t="str">
        <f>VLOOKUP($A27,$A$63:$D$66,2,FALSE)</f>
        <v>Equipe 1</v>
      </c>
      <c r="C27" s="680"/>
      <c r="D27" s="683">
        <f>VLOOKUP($A27,$A$63:$D$66,4,FALSE)</f>
        <v>3.9999999999999998E-7</v>
      </c>
      <c r="E27" s="684"/>
      <c r="F27" s="105"/>
      <c r="G27" s="49">
        <v>1</v>
      </c>
      <c r="H27" s="680" t="str">
        <f>VLOOKUP($G27,$G$63:$J$66,2,FALSE)</f>
        <v>Equipe 5</v>
      </c>
      <c r="I27" s="680"/>
      <c r="J27" s="681">
        <f>VLOOKUP($G27,$G$63:$J$66,4,FALSE)</f>
        <v>3.9999999999999998E-7</v>
      </c>
      <c r="K27" s="682"/>
      <c r="L27" s="76"/>
      <c r="M27" s="49">
        <v>1</v>
      </c>
      <c r="N27" s="680" t="str">
        <f>VLOOKUP($M27,$M$63:$P$66,2,FALSE)</f>
        <v>Equipe 9</v>
      </c>
      <c r="O27" s="680"/>
      <c r="P27" s="681">
        <f>VLOOKUP($M27,$M$63:$P$66,4,FALSE)</f>
        <v>3.9999999999999998E-7</v>
      </c>
      <c r="Q27" s="682"/>
      <c r="R27" s="105"/>
      <c r="S27" s="49">
        <v>1</v>
      </c>
      <c r="T27" s="680" t="str">
        <f>VLOOKUP($S27,$S$63:$V$66,2,FALSE)</f>
        <v>Equipe 13</v>
      </c>
      <c r="U27" s="680"/>
      <c r="V27" s="681">
        <f>VLOOKUP($S27,$S$63:$V$66,4,FALSE)</f>
        <v>3.9999999999999998E-7</v>
      </c>
      <c r="W27" s="682"/>
    </row>
    <row r="28" spans="1:23" x14ac:dyDescent="0.25">
      <c r="A28" s="49">
        <v>2</v>
      </c>
      <c r="B28" s="680" t="str">
        <f>VLOOKUP($A28,$A$63:$D$66,2,FALSE)</f>
        <v>Equipe 2</v>
      </c>
      <c r="C28" s="680"/>
      <c r="D28" s="683">
        <f>VLOOKUP($A28,$A$63:$D$66,4,FALSE)</f>
        <v>2.9999999999999999E-7</v>
      </c>
      <c r="E28" s="684"/>
      <c r="F28" s="105"/>
      <c r="G28" s="49">
        <v>2</v>
      </c>
      <c r="H28" s="680" t="str">
        <f>VLOOKUP($G28,$G$63:$J$66,2,FALSE)</f>
        <v>Equipe 6</v>
      </c>
      <c r="I28" s="680"/>
      <c r="J28" s="681">
        <f>VLOOKUP($G28,$G$63:$J$66,4,FALSE)</f>
        <v>2.9999999999999999E-7</v>
      </c>
      <c r="K28" s="682"/>
      <c r="L28" s="76"/>
      <c r="M28" s="49">
        <v>2</v>
      </c>
      <c r="N28" s="680" t="str">
        <f>VLOOKUP($M28,$M$63:$P$66,2,FALSE)</f>
        <v>Equipe 10</v>
      </c>
      <c r="O28" s="680"/>
      <c r="P28" s="681">
        <f>VLOOKUP($M28,$M$63:$P$66,4,FALSE)</f>
        <v>2.9999999999999999E-7</v>
      </c>
      <c r="Q28" s="682"/>
      <c r="R28" s="105"/>
      <c r="S28" s="49">
        <v>2</v>
      </c>
      <c r="T28" s="680" t="str">
        <f>VLOOKUP($S28,$S$63:$V$66,2,FALSE)</f>
        <v>Equipe 14</v>
      </c>
      <c r="U28" s="680"/>
      <c r="V28" s="681">
        <f>VLOOKUP($S28,$S$63:$V$66,4,FALSE)</f>
        <v>2.9999999999999999E-7</v>
      </c>
      <c r="W28" s="682"/>
    </row>
    <row r="29" spans="1:23" x14ac:dyDescent="0.25">
      <c r="A29" s="49">
        <v>3</v>
      </c>
      <c r="B29" s="680" t="str">
        <f>VLOOKUP($A29,$A$63:$D$66,2,FALSE)</f>
        <v>Equipe 3</v>
      </c>
      <c r="C29" s="680"/>
      <c r="D29" s="683">
        <f>VLOOKUP($A29,$A$63:$D$66,4,FALSE)</f>
        <v>1.9999999999999999E-7</v>
      </c>
      <c r="E29" s="684"/>
      <c r="F29" s="105"/>
      <c r="G29" s="49">
        <v>3</v>
      </c>
      <c r="H29" s="680" t="str">
        <f>VLOOKUP($G29,$G$63:$J$66,2,FALSE)</f>
        <v>Equipe 7</v>
      </c>
      <c r="I29" s="680"/>
      <c r="J29" s="681">
        <f>VLOOKUP($G29,$G$63:$J$66,4,FALSE)</f>
        <v>1.9999999999999999E-7</v>
      </c>
      <c r="K29" s="682"/>
      <c r="L29" s="76"/>
      <c r="M29" s="49">
        <v>3</v>
      </c>
      <c r="N29" s="680" t="str">
        <f>VLOOKUP($M29,$M$63:$P$66,2,FALSE)</f>
        <v>Equipe 11</v>
      </c>
      <c r="O29" s="680"/>
      <c r="P29" s="681">
        <f>VLOOKUP($M29,$M$63:$P$66,4,FALSE)</f>
        <v>1.9999999999999999E-7</v>
      </c>
      <c r="Q29" s="682"/>
      <c r="R29" s="105"/>
      <c r="S29" s="49">
        <v>3</v>
      </c>
      <c r="T29" s="680" t="str">
        <f>VLOOKUP($S29,$S$63:$V$66,2,FALSE)</f>
        <v>Equipe 15</v>
      </c>
      <c r="U29" s="680"/>
      <c r="V29" s="681">
        <f>VLOOKUP($S29,$S$63:$V$66,4,FALSE)</f>
        <v>1.9999999999999999E-7</v>
      </c>
      <c r="W29" s="682"/>
    </row>
    <row r="30" spans="1:23" ht="15.75" thickBot="1" x14ac:dyDescent="0.3">
      <c r="A30" s="50">
        <v>4</v>
      </c>
      <c r="B30" s="706" t="str">
        <f>VLOOKUP($A30,$A$63:$D$66,2,FALSE)</f>
        <v>Equipe 4</v>
      </c>
      <c r="C30" s="706"/>
      <c r="D30" s="707">
        <f>VLOOKUP($A30,$A$63:$D$66,4,FALSE)</f>
        <v>9.9999999999999995E-8</v>
      </c>
      <c r="E30" s="708"/>
      <c r="F30" s="123"/>
      <c r="G30" s="50">
        <v>4</v>
      </c>
      <c r="H30" s="706" t="str">
        <f>VLOOKUP($G30,$G$63:$J$66,2,FALSE)</f>
        <v>Equipe 8</v>
      </c>
      <c r="I30" s="706"/>
      <c r="J30" s="709">
        <f>VLOOKUP($G30,$G$63:$J$66,4,FALSE)</f>
        <v>9.9999999999999995E-8</v>
      </c>
      <c r="K30" s="710"/>
      <c r="L30" s="78"/>
      <c r="M30" s="50">
        <v>4</v>
      </c>
      <c r="N30" s="706" t="str">
        <f>VLOOKUP($M30,$M$63:$P$66,2,FALSE)</f>
        <v>Equipe 12</v>
      </c>
      <c r="O30" s="706"/>
      <c r="P30" s="709">
        <f>VLOOKUP($M30,$M$63:$P$66,4,FALSE)</f>
        <v>9.9999999999999995E-8</v>
      </c>
      <c r="Q30" s="710"/>
      <c r="R30" s="123"/>
      <c r="S30" s="50">
        <v>4</v>
      </c>
      <c r="T30" s="706" t="str">
        <f>VLOOKUP($S30,$S$63:$V$66,2,FALSE)</f>
        <v>Equipe 16</v>
      </c>
      <c r="U30" s="706"/>
      <c r="V30" s="709">
        <f>VLOOKUP($S30,$S$63:$V$66,4,FALSE)</f>
        <v>9.9999999999999995E-8</v>
      </c>
      <c r="W30" s="710"/>
    </row>
    <row r="31" spans="1:23" ht="15.75" thickBot="1" x14ac:dyDescent="0.3">
      <c r="A31" s="703" t="s">
        <v>34</v>
      </c>
      <c r="B31" s="704"/>
      <c r="C31" s="704"/>
      <c r="D31" s="704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4"/>
      <c r="V31" s="704"/>
      <c r="W31" s="705"/>
    </row>
    <row r="32" spans="1:23" ht="24.95" customHeight="1" thickBot="1" x14ac:dyDescent="0.3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</row>
    <row r="33" spans="1:24" ht="16.350000000000001" customHeight="1" thickBot="1" x14ac:dyDescent="0.3">
      <c r="A33" s="701" t="s">
        <v>221</v>
      </c>
      <c r="B33" s="685"/>
      <c r="C33" s="685"/>
      <c r="D33" s="685"/>
      <c r="E33" s="685"/>
      <c r="F33" s="685"/>
      <c r="G33" s="685"/>
      <c r="H33" s="685"/>
      <c r="I33" s="392" t="s">
        <v>18</v>
      </c>
      <c r="J33" s="782">
        <v>5.5555555555555558E-3</v>
      </c>
      <c r="K33" s="782"/>
      <c r="L33" s="782"/>
      <c r="M33" s="395" t="s">
        <v>17</v>
      </c>
      <c r="N33" s="392"/>
      <c r="O33" s="686"/>
      <c r="P33" s="686"/>
      <c r="Q33" s="686"/>
      <c r="R33" s="686"/>
      <c r="S33" s="686"/>
      <c r="T33" s="686"/>
      <c r="U33" s="686"/>
      <c r="V33" s="686"/>
      <c r="W33" s="781"/>
      <c r="X33" s="74"/>
    </row>
    <row r="34" spans="1:24" ht="14.45" customHeight="1" x14ac:dyDescent="0.25">
      <c r="A34" s="125"/>
      <c r="B34" s="912" t="s">
        <v>41</v>
      </c>
      <c r="C34" s="935"/>
      <c r="D34" s="912" t="s">
        <v>15</v>
      </c>
      <c r="E34" s="914"/>
      <c r="F34" s="102"/>
      <c r="G34" s="124"/>
      <c r="H34" s="915" t="s">
        <v>42</v>
      </c>
      <c r="I34" s="936"/>
      <c r="J34" s="915" t="s">
        <v>15</v>
      </c>
      <c r="K34" s="917"/>
      <c r="L34" s="76"/>
      <c r="M34" s="97"/>
      <c r="N34" s="852" t="s">
        <v>43</v>
      </c>
      <c r="O34" s="937"/>
      <c r="P34" s="852" t="s">
        <v>15</v>
      </c>
      <c r="Q34" s="853"/>
      <c r="R34" s="2"/>
      <c r="S34" s="83"/>
      <c r="T34" s="850" t="s">
        <v>55</v>
      </c>
      <c r="U34" s="938"/>
      <c r="V34" s="850" t="s">
        <v>15</v>
      </c>
      <c r="W34" s="851"/>
    </row>
    <row r="35" spans="1:24" ht="14.45" customHeight="1" x14ac:dyDescent="0.25">
      <c r="A35" s="10">
        <v>1</v>
      </c>
      <c r="B35" s="905" t="str">
        <f>IF($D$14="","4eme A",B30)</f>
        <v>4eme A</v>
      </c>
      <c r="C35" s="933"/>
      <c r="D35" s="725">
        <f>A100+A104+A108+C89/1000000</f>
        <v>0</v>
      </c>
      <c r="E35" s="726"/>
      <c r="F35" s="103"/>
      <c r="G35" s="11">
        <v>1</v>
      </c>
      <c r="H35" s="907" t="str">
        <f>IF($D$14="","3eme A",B29)</f>
        <v>3eme A</v>
      </c>
      <c r="I35" s="934"/>
      <c r="J35" s="729">
        <f>G100+G104+G108+I89/1000000</f>
        <v>0</v>
      </c>
      <c r="K35" s="730"/>
      <c r="L35" s="76"/>
      <c r="M35" s="12">
        <v>1</v>
      </c>
      <c r="N35" s="844" t="str">
        <f>IF($D$14="","2eme A",B28)</f>
        <v>2eme A</v>
      </c>
      <c r="O35" s="845"/>
      <c r="P35" s="802">
        <f>M100+M104+M108+O89/1000000</f>
        <v>0</v>
      </c>
      <c r="Q35" s="803"/>
      <c r="R35" s="2"/>
      <c r="S35" s="13">
        <v>1</v>
      </c>
      <c r="T35" s="835" t="str">
        <f>IF($D$14="","1er A",B27)</f>
        <v>1er A</v>
      </c>
      <c r="U35" s="836"/>
      <c r="V35" s="798">
        <f>S100+S104+S108+U89/1000000</f>
        <v>0</v>
      </c>
      <c r="W35" s="799"/>
    </row>
    <row r="36" spans="1:24" ht="14.45" customHeight="1" x14ac:dyDescent="0.25">
      <c r="A36" s="10">
        <v>2</v>
      </c>
      <c r="B36" s="905" t="str">
        <f>IF($D$14="","4eme B",H30)</f>
        <v>4eme B</v>
      </c>
      <c r="C36" s="933"/>
      <c r="D36" s="725">
        <f>B100+A105+A109+C90/1000000</f>
        <v>0</v>
      </c>
      <c r="E36" s="726"/>
      <c r="F36" s="103"/>
      <c r="G36" s="11">
        <v>2</v>
      </c>
      <c r="H36" s="907" t="str">
        <f>IF($D$14="","3eme B",H29)</f>
        <v>3eme B</v>
      </c>
      <c r="I36" s="934"/>
      <c r="J36" s="729">
        <f>H100+G105+G109+I90/1000000</f>
        <v>0</v>
      </c>
      <c r="K36" s="730"/>
      <c r="L36" s="76"/>
      <c r="M36" s="12">
        <v>2</v>
      </c>
      <c r="N36" s="844" t="str">
        <f>IF($D$14="","2eme B",H28)</f>
        <v>2eme B</v>
      </c>
      <c r="O36" s="845"/>
      <c r="P36" s="802">
        <f>N100+M105+M109+O90/1000000</f>
        <v>0</v>
      </c>
      <c r="Q36" s="803"/>
      <c r="R36" s="2"/>
      <c r="S36" s="13">
        <v>2</v>
      </c>
      <c r="T36" s="835" t="str">
        <f>IF($D$14="","1er B",H27)</f>
        <v>1er B</v>
      </c>
      <c r="U36" s="836"/>
      <c r="V36" s="798">
        <f>T100+S105+S109+U90/1000000</f>
        <v>0</v>
      </c>
      <c r="W36" s="799"/>
    </row>
    <row r="37" spans="1:24" ht="14.45" customHeight="1" x14ac:dyDescent="0.25">
      <c r="A37" s="10">
        <v>3</v>
      </c>
      <c r="B37" s="905" t="str">
        <f>IF($D$14="","3eme C",N29)</f>
        <v>3eme C</v>
      </c>
      <c r="C37" s="933"/>
      <c r="D37" s="725">
        <f>A101+B104+B109+C91/1000000</f>
        <v>0</v>
      </c>
      <c r="E37" s="726"/>
      <c r="F37" s="103"/>
      <c r="G37" s="11">
        <v>3</v>
      </c>
      <c r="H37" s="907" t="str">
        <f>IF($D$14="","4eme C",N30)</f>
        <v>4eme C</v>
      </c>
      <c r="I37" s="934"/>
      <c r="J37" s="729">
        <f>G101+H104+H109+I91/1000000</f>
        <v>0</v>
      </c>
      <c r="K37" s="730"/>
      <c r="L37" s="76"/>
      <c r="M37" s="12">
        <v>3</v>
      </c>
      <c r="N37" s="844" t="str">
        <f>IF($D$14="","1er C",N27)</f>
        <v>1er C</v>
      </c>
      <c r="O37" s="845"/>
      <c r="P37" s="802">
        <f>M101+N104+N109+O91/1000000</f>
        <v>0</v>
      </c>
      <c r="Q37" s="803"/>
      <c r="R37" s="2"/>
      <c r="S37" s="13">
        <v>3</v>
      </c>
      <c r="T37" s="835" t="str">
        <f>IF($D$14="","2eme C",N28)</f>
        <v>2eme C</v>
      </c>
      <c r="U37" s="836"/>
      <c r="V37" s="798">
        <f>S101+T104+T109+U91/1000000</f>
        <v>0</v>
      </c>
      <c r="W37" s="799"/>
    </row>
    <row r="38" spans="1:24" ht="14.45" customHeight="1" thickBot="1" x14ac:dyDescent="0.3">
      <c r="A38" s="15">
        <v>4</v>
      </c>
      <c r="B38" s="901" t="str">
        <f>IF($D$14="","3eme D",T29)</f>
        <v>3eme D</v>
      </c>
      <c r="C38" s="939"/>
      <c r="D38" s="719">
        <f>B101+B105+B108+C92/1000000</f>
        <v>0</v>
      </c>
      <c r="E38" s="720"/>
      <c r="F38" s="103"/>
      <c r="G38" s="16">
        <v>4</v>
      </c>
      <c r="H38" s="903" t="str">
        <f>IF($D$14="","4eme D",T30)</f>
        <v>4eme D</v>
      </c>
      <c r="I38" s="940"/>
      <c r="J38" s="723">
        <f>H101+H105+H108+I92/1000000</f>
        <v>0</v>
      </c>
      <c r="K38" s="724"/>
      <c r="L38" s="76"/>
      <c r="M38" s="17">
        <v>4</v>
      </c>
      <c r="N38" s="846" t="str">
        <f>IF($D$14="","1er D",T27)</f>
        <v>1er D</v>
      </c>
      <c r="O38" s="847"/>
      <c r="P38" s="794">
        <f>N101+N105+N108+O92/1000000</f>
        <v>0</v>
      </c>
      <c r="Q38" s="795"/>
      <c r="R38" s="2"/>
      <c r="S38" s="18">
        <v>4</v>
      </c>
      <c r="T38" s="837" t="str">
        <f>IF($D$14="","2eme D",T28)</f>
        <v>2eme D</v>
      </c>
      <c r="U38" s="838"/>
      <c r="V38" s="790">
        <f>T101+T105+T108+U92/1000000</f>
        <v>0</v>
      </c>
      <c r="W38" s="791"/>
    </row>
    <row r="39" spans="1:24" s="29" customFormat="1" ht="5.0999999999999996" customHeight="1" thickBot="1" x14ac:dyDescent="0.3">
      <c r="A39" s="19"/>
      <c r="B39" s="2"/>
      <c r="C39" s="2"/>
      <c r="D39" s="2"/>
      <c r="E39" s="2"/>
      <c r="F39" s="2"/>
      <c r="G39" s="2"/>
      <c r="H39" s="2"/>
      <c r="I39" s="2"/>
      <c r="J39" s="2"/>
      <c r="K39" s="2"/>
      <c r="L39" s="85"/>
      <c r="M39" s="2"/>
      <c r="N39" s="2"/>
      <c r="O39" s="2"/>
      <c r="P39" s="2"/>
      <c r="Q39" s="2"/>
      <c r="R39" s="2"/>
      <c r="S39" s="2"/>
      <c r="T39" s="2"/>
      <c r="U39" s="2"/>
      <c r="V39" s="2"/>
      <c r="W39" s="21"/>
    </row>
    <row r="40" spans="1:24" ht="14.45" customHeight="1" x14ac:dyDescent="0.25">
      <c r="A40" s="24"/>
      <c r="B40" s="713" t="s">
        <v>10</v>
      </c>
      <c r="C40" s="713"/>
      <c r="D40" s="713" t="s">
        <v>16</v>
      </c>
      <c r="E40" s="714"/>
      <c r="F40" s="25"/>
      <c r="G40" s="26"/>
      <c r="H40" s="715" t="s">
        <v>10</v>
      </c>
      <c r="I40" s="715"/>
      <c r="J40" s="715" t="s">
        <v>16</v>
      </c>
      <c r="K40" s="716"/>
      <c r="L40" s="77"/>
      <c r="M40" s="27"/>
      <c r="N40" s="786" t="s">
        <v>10</v>
      </c>
      <c r="O40" s="786"/>
      <c r="P40" s="786" t="s">
        <v>16</v>
      </c>
      <c r="Q40" s="787"/>
      <c r="R40" s="25"/>
      <c r="S40" s="28"/>
      <c r="T40" s="784" t="s">
        <v>10</v>
      </c>
      <c r="U40" s="784"/>
      <c r="V40" s="784" t="s">
        <v>16</v>
      </c>
      <c r="W40" s="785"/>
    </row>
    <row r="41" spans="1:24" ht="14.45" customHeight="1" x14ac:dyDescent="0.25">
      <c r="A41" s="30">
        <f>S23+J6+"00:02"+L5</f>
        <v>0.54166666666666607</v>
      </c>
      <c r="B41" s="31" t="str">
        <f>B35</f>
        <v>4eme A</v>
      </c>
      <c r="C41" s="31" t="str">
        <f>B36</f>
        <v>4eme B</v>
      </c>
      <c r="D41" s="53"/>
      <c r="E41" s="54"/>
      <c r="F41" s="2"/>
      <c r="G41" s="32">
        <f>A42+$J$33+"00:02"</f>
        <v>0.55555555555555491</v>
      </c>
      <c r="H41" s="33" t="str">
        <f>H35</f>
        <v>3eme A</v>
      </c>
      <c r="I41" s="33" t="str">
        <f>H36</f>
        <v>3eme B</v>
      </c>
      <c r="J41" s="57"/>
      <c r="K41" s="58"/>
      <c r="L41" s="76"/>
      <c r="M41" s="34">
        <f>G42+$J$33+"00:02"</f>
        <v>0.56944444444444375</v>
      </c>
      <c r="N41" s="35" t="str">
        <f>N35</f>
        <v>2eme A</v>
      </c>
      <c r="O41" s="35" t="str">
        <f>N36</f>
        <v>2eme B</v>
      </c>
      <c r="P41" s="61"/>
      <c r="Q41" s="62"/>
      <c r="R41" s="2"/>
      <c r="S41" s="36">
        <f>M42+$J$33+"00:02"</f>
        <v>0.58333333333333259</v>
      </c>
      <c r="T41" s="37" t="str">
        <f>T35</f>
        <v>1er A</v>
      </c>
      <c r="U41" s="37" t="str">
        <f>T36</f>
        <v>1er B</v>
      </c>
      <c r="V41" s="65"/>
      <c r="W41" s="66"/>
    </row>
    <row r="42" spans="1:24" ht="14.45" customHeight="1" thickBot="1" x14ac:dyDescent="0.3">
      <c r="A42" s="38">
        <f>A41+$J$33+"00:02"</f>
        <v>0.54861111111111049</v>
      </c>
      <c r="B42" s="39" t="str">
        <f>B37</f>
        <v>3eme C</v>
      </c>
      <c r="C42" s="39" t="str">
        <f>B38</f>
        <v>3eme D</v>
      </c>
      <c r="D42" s="55"/>
      <c r="E42" s="56"/>
      <c r="F42" s="2"/>
      <c r="G42" s="40">
        <f>G41+$J$33+"00:02"</f>
        <v>0.56249999999999933</v>
      </c>
      <c r="H42" s="41" t="str">
        <f>H37</f>
        <v>4eme C</v>
      </c>
      <c r="I42" s="41" t="str">
        <f>H38</f>
        <v>4eme D</v>
      </c>
      <c r="J42" s="59"/>
      <c r="K42" s="60"/>
      <c r="L42" s="76"/>
      <c r="M42" s="42">
        <f>M41+$J$33+"00:02"</f>
        <v>0.57638888888888817</v>
      </c>
      <c r="N42" s="43" t="str">
        <f>N37</f>
        <v>1er C</v>
      </c>
      <c r="O42" s="43" t="str">
        <f>N38</f>
        <v>1er D</v>
      </c>
      <c r="P42" s="63"/>
      <c r="Q42" s="64"/>
      <c r="R42" s="2"/>
      <c r="S42" s="44">
        <f>S41+$J$33+"00:02"</f>
        <v>0.59027777777777701</v>
      </c>
      <c r="T42" s="45" t="str">
        <f>T37</f>
        <v>2eme C</v>
      </c>
      <c r="U42" s="45" t="str">
        <f>T38</f>
        <v>2eme D</v>
      </c>
      <c r="V42" s="67"/>
      <c r="W42" s="68"/>
    </row>
    <row r="43" spans="1:24" ht="5.0999999999999996" customHeight="1" thickBot="1" x14ac:dyDescent="0.3">
      <c r="A43" s="19"/>
      <c r="B43" s="2"/>
      <c r="C43" s="2"/>
      <c r="D43" s="393"/>
      <c r="E43" s="393"/>
      <c r="F43" s="2"/>
      <c r="G43" s="2"/>
      <c r="H43" s="2"/>
      <c r="I43" s="47"/>
      <c r="J43" s="393"/>
      <c r="K43" s="393"/>
      <c r="L43" s="85"/>
      <c r="M43" s="2"/>
      <c r="N43" s="2"/>
      <c r="O43" s="2"/>
      <c r="P43" s="393"/>
      <c r="Q43" s="393"/>
      <c r="R43" s="2"/>
      <c r="S43" s="2"/>
      <c r="T43" s="2"/>
      <c r="U43" s="2"/>
      <c r="V43" s="393"/>
      <c r="W43" s="394"/>
    </row>
    <row r="44" spans="1:24" ht="14.45" customHeight="1" x14ac:dyDescent="0.25">
      <c r="A44" s="24"/>
      <c r="B44" s="713" t="s">
        <v>11</v>
      </c>
      <c r="C44" s="713"/>
      <c r="D44" s="713" t="s">
        <v>16</v>
      </c>
      <c r="E44" s="714"/>
      <c r="F44" s="25"/>
      <c r="G44" s="26"/>
      <c r="H44" s="715" t="s">
        <v>11</v>
      </c>
      <c r="I44" s="715"/>
      <c r="J44" s="715" t="s">
        <v>16</v>
      </c>
      <c r="K44" s="716"/>
      <c r="L44" s="77"/>
      <c r="M44" s="27"/>
      <c r="N44" s="786" t="s">
        <v>11</v>
      </c>
      <c r="O44" s="786"/>
      <c r="P44" s="786" t="s">
        <v>16</v>
      </c>
      <c r="Q44" s="787"/>
      <c r="R44" s="25"/>
      <c r="S44" s="28"/>
      <c r="T44" s="784" t="s">
        <v>11</v>
      </c>
      <c r="U44" s="784"/>
      <c r="V44" s="784" t="s">
        <v>16</v>
      </c>
      <c r="W44" s="785"/>
    </row>
    <row r="45" spans="1:24" ht="14.45" customHeight="1" x14ac:dyDescent="0.25">
      <c r="A45" s="30">
        <f>S42+$J$33+"00:02"</f>
        <v>0.59722222222222143</v>
      </c>
      <c r="B45" s="31" t="str">
        <f>B35</f>
        <v>4eme A</v>
      </c>
      <c r="C45" s="31" t="str">
        <f>B37</f>
        <v>3eme C</v>
      </c>
      <c r="D45" s="53"/>
      <c r="E45" s="54"/>
      <c r="F45" s="2"/>
      <c r="G45" s="32">
        <f>A46+$J$33+"00:02"</f>
        <v>0.61111111111111027</v>
      </c>
      <c r="H45" s="33" t="str">
        <f>H35</f>
        <v>3eme A</v>
      </c>
      <c r="I45" s="33" t="str">
        <f>H37</f>
        <v>4eme C</v>
      </c>
      <c r="J45" s="57"/>
      <c r="K45" s="58"/>
      <c r="L45" s="76"/>
      <c r="M45" s="34">
        <f>G46+$J$33+"00:02"</f>
        <v>0.62499999999999911</v>
      </c>
      <c r="N45" s="35" t="str">
        <f>N35</f>
        <v>2eme A</v>
      </c>
      <c r="O45" s="35" t="str">
        <f>N37</f>
        <v>1er C</v>
      </c>
      <c r="P45" s="61"/>
      <c r="Q45" s="62"/>
      <c r="R45" s="2"/>
      <c r="S45" s="36">
        <f>M46+$J$33+"00:02"</f>
        <v>0.63888888888888795</v>
      </c>
      <c r="T45" s="37" t="str">
        <f>T35</f>
        <v>1er A</v>
      </c>
      <c r="U45" s="37" t="str">
        <f>T37</f>
        <v>2eme C</v>
      </c>
      <c r="V45" s="65"/>
      <c r="W45" s="66"/>
    </row>
    <row r="46" spans="1:24" ht="14.45" customHeight="1" thickBot="1" x14ac:dyDescent="0.3">
      <c r="A46" s="38">
        <f>A45+$J$33+"00:02"</f>
        <v>0.60416666666666585</v>
      </c>
      <c r="B46" s="39" t="str">
        <f>B36</f>
        <v>4eme B</v>
      </c>
      <c r="C46" s="39" t="str">
        <f>B38</f>
        <v>3eme D</v>
      </c>
      <c r="D46" s="55"/>
      <c r="E46" s="56"/>
      <c r="F46" s="2"/>
      <c r="G46" s="40">
        <f>G45+$J$33+"00:02"</f>
        <v>0.61805555555555469</v>
      </c>
      <c r="H46" s="41" t="str">
        <f>H36</f>
        <v>3eme B</v>
      </c>
      <c r="I46" s="41" t="str">
        <f>H38</f>
        <v>4eme D</v>
      </c>
      <c r="J46" s="59"/>
      <c r="K46" s="60"/>
      <c r="L46" s="76"/>
      <c r="M46" s="42">
        <f>M45+$J$33+"00:02"</f>
        <v>0.63194444444444353</v>
      </c>
      <c r="N46" s="43" t="str">
        <f>N36</f>
        <v>2eme B</v>
      </c>
      <c r="O46" s="43" t="str">
        <f>N38</f>
        <v>1er D</v>
      </c>
      <c r="P46" s="63"/>
      <c r="Q46" s="64"/>
      <c r="R46" s="2"/>
      <c r="S46" s="44">
        <f>S45+$J$33+"00:02"</f>
        <v>0.64583333333333237</v>
      </c>
      <c r="T46" s="45" t="str">
        <f>T36</f>
        <v>1er B</v>
      </c>
      <c r="U46" s="45" t="str">
        <f>T38</f>
        <v>2eme D</v>
      </c>
      <c r="V46" s="67"/>
      <c r="W46" s="68"/>
    </row>
    <row r="47" spans="1:24" ht="5.0999999999999996" customHeight="1" thickBot="1" x14ac:dyDescent="0.3">
      <c r="A47" s="19"/>
      <c r="B47" s="2"/>
      <c r="C47" s="2"/>
      <c r="D47" s="393"/>
      <c r="E47" s="393"/>
      <c r="F47" s="2"/>
      <c r="G47" s="2"/>
      <c r="H47" s="2"/>
      <c r="I47" s="47"/>
      <c r="J47" s="393"/>
      <c r="K47" s="393"/>
      <c r="L47" s="85"/>
      <c r="M47" s="2"/>
      <c r="N47" s="2"/>
      <c r="O47" s="2"/>
      <c r="P47" s="393"/>
      <c r="Q47" s="393"/>
      <c r="R47" s="2"/>
      <c r="S47" s="2"/>
      <c r="T47" s="2"/>
      <c r="U47" s="2"/>
      <c r="V47" s="393"/>
      <c r="W47" s="394"/>
    </row>
    <row r="48" spans="1:24" ht="14.45" customHeight="1" x14ac:dyDescent="0.25">
      <c r="A48" s="24"/>
      <c r="B48" s="713" t="s">
        <v>12</v>
      </c>
      <c r="C48" s="713"/>
      <c r="D48" s="713" t="s">
        <v>16</v>
      </c>
      <c r="E48" s="714"/>
      <c r="F48" s="25"/>
      <c r="G48" s="26"/>
      <c r="H48" s="715" t="s">
        <v>12</v>
      </c>
      <c r="I48" s="715"/>
      <c r="J48" s="715" t="s">
        <v>16</v>
      </c>
      <c r="K48" s="716"/>
      <c r="L48" s="77"/>
      <c r="M48" s="27"/>
      <c r="N48" s="786" t="s">
        <v>12</v>
      </c>
      <c r="O48" s="786"/>
      <c r="P48" s="786" t="s">
        <v>16</v>
      </c>
      <c r="Q48" s="787"/>
      <c r="R48" s="25"/>
      <c r="S48" s="28"/>
      <c r="T48" s="784" t="s">
        <v>12</v>
      </c>
      <c r="U48" s="784"/>
      <c r="V48" s="784" t="s">
        <v>16</v>
      </c>
      <c r="W48" s="785"/>
    </row>
    <row r="49" spans="1:23" ht="14.45" customHeight="1" x14ac:dyDescent="0.25">
      <c r="A49" s="30">
        <f>S46+$J$33+"00:02"</f>
        <v>0.65277777777777679</v>
      </c>
      <c r="B49" s="31" t="str">
        <f>B35</f>
        <v>4eme A</v>
      </c>
      <c r="C49" s="31" t="str">
        <f>B38</f>
        <v>3eme D</v>
      </c>
      <c r="D49" s="53"/>
      <c r="E49" s="54"/>
      <c r="F49" s="2"/>
      <c r="G49" s="32">
        <f>A50+$J$33+"00:02"</f>
        <v>0.66666666666666563</v>
      </c>
      <c r="H49" s="33" t="str">
        <f>H35</f>
        <v>3eme A</v>
      </c>
      <c r="I49" s="33" t="str">
        <f>H38</f>
        <v>4eme D</v>
      </c>
      <c r="J49" s="57"/>
      <c r="K49" s="58"/>
      <c r="L49" s="76"/>
      <c r="M49" s="34">
        <f>G50+$J$33+"00:02"</f>
        <v>0.68055555555555447</v>
      </c>
      <c r="N49" s="35" t="str">
        <f>N35</f>
        <v>2eme A</v>
      </c>
      <c r="O49" s="35" t="str">
        <f>N38</f>
        <v>1er D</v>
      </c>
      <c r="P49" s="61"/>
      <c r="Q49" s="62"/>
      <c r="R49" s="2"/>
      <c r="S49" s="36">
        <f>M50+$J$33+"00:02"</f>
        <v>0.69444444444444331</v>
      </c>
      <c r="T49" s="37" t="str">
        <f>T35</f>
        <v>1er A</v>
      </c>
      <c r="U49" s="37" t="str">
        <f>T38</f>
        <v>2eme D</v>
      </c>
      <c r="V49" s="65"/>
      <c r="W49" s="66"/>
    </row>
    <row r="50" spans="1:23" ht="14.45" customHeight="1" thickBot="1" x14ac:dyDescent="0.3">
      <c r="A50" s="38">
        <f>A49+$J$33+"00:02"</f>
        <v>0.65972222222222121</v>
      </c>
      <c r="B50" s="39" t="str">
        <f>B36</f>
        <v>4eme B</v>
      </c>
      <c r="C50" s="39" t="str">
        <f>B37</f>
        <v>3eme C</v>
      </c>
      <c r="D50" s="55"/>
      <c r="E50" s="56"/>
      <c r="F50" s="47"/>
      <c r="G50" s="40">
        <f>G49+$J$33+"00:02"</f>
        <v>0.67361111111111005</v>
      </c>
      <c r="H50" s="41" t="str">
        <f>H36</f>
        <v>3eme B</v>
      </c>
      <c r="I50" s="41" t="str">
        <f>H37</f>
        <v>4eme C</v>
      </c>
      <c r="J50" s="59"/>
      <c r="K50" s="60"/>
      <c r="L50" s="78"/>
      <c r="M50" s="42">
        <f>M49+$J$33+"00:02"</f>
        <v>0.68749999999999889</v>
      </c>
      <c r="N50" s="43" t="str">
        <f>N36</f>
        <v>2eme B</v>
      </c>
      <c r="O50" s="43" t="str">
        <f>N37</f>
        <v>1er C</v>
      </c>
      <c r="P50" s="63"/>
      <c r="Q50" s="64"/>
      <c r="R50" s="47"/>
      <c r="S50" s="44">
        <f>S49+$J$33+"00:02"</f>
        <v>0.70138888888888773</v>
      </c>
      <c r="T50" s="45" t="str">
        <f>T36</f>
        <v>1er B</v>
      </c>
      <c r="U50" s="45" t="str">
        <f>T37</f>
        <v>2eme C</v>
      </c>
      <c r="V50" s="67"/>
      <c r="W50" s="68"/>
    </row>
    <row r="51" spans="1:23" ht="5.0999999999999996" hidden="1" customHeight="1" thickBot="1" x14ac:dyDescent="0.3">
      <c r="A51" s="118"/>
      <c r="B51" s="119"/>
      <c r="C51" s="119"/>
      <c r="D51" s="173"/>
      <c r="E51" s="173"/>
      <c r="F51" s="89"/>
      <c r="G51" s="120"/>
      <c r="H51" s="119"/>
      <c r="I51" s="119"/>
      <c r="J51" s="173"/>
      <c r="K51" s="173"/>
      <c r="L51" s="89"/>
      <c r="M51" s="120"/>
      <c r="N51" s="119"/>
      <c r="O51" s="119"/>
      <c r="P51" s="173"/>
      <c r="Q51" s="173"/>
      <c r="R51" s="89"/>
      <c r="S51" s="93"/>
      <c r="T51" s="396"/>
      <c r="U51" s="396"/>
      <c r="V51" s="116"/>
      <c r="W51" s="117"/>
    </row>
    <row r="52" spans="1:23" ht="14.45" hidden="1" customHeight="1" thickBot="1" x14ac:dyDescent="0.3">
      <c r="A52" s="783" t="s">
        <v>47</v>
      </c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2"/>
      <c r="U52" s="762"/>
      <c r="V52" s="762"/>
      <c r="W52" s="763"/>
    </row>
    <row r="53" spans="1:23" ht="14.45" hidden="1" customHeight="1" x14ac:dyDescent="0.25">
      <c r="A53" s="81" t="s">
        <v>21</v>
      </c>
      <c r="B53" s="711" t="s">
        <v>41</v>
      </c>
      <c r="C53" s="711"/>
      <c r="D53" s="711" t="s">
        <v>15</v>
      </c>
      <c r="E53" s="712"/>
      <c r="F53" s="122"/>
      <c r="G53" s="81" t="s">
        <v>21</v>
      </c>
      <c r="H53" s="711" t="s">
        <v>42</v>
      </c>
      <c r="I53" s="711"/>
      <c r="J53" s="711" t="s">
        <v>15</v>
      </c>
      <c r="K53" s="712"/>
      <c r="L53" s="75"/>
      <c r="M53" s="81" t="s">
        <v>21</v>
      </c>
      <c r="N53" s="711" t="s">
        <v>43</v>
      </c>
      <c r="O53" s="711"/>
      <c r="P53" s="711" t="s">
        <v>15</v>
      </c>
      <c r="Q53" s="712"/>
      <c r="R53" s="122"/>
      <c r="S53" s="81" t="s">
        <v>21</v>
      </c>
      <c r="T53" s="711" t="s">
        <v>55</v>
      </c>
      <c r="U53" s="711"/>
      <c r="V53" s="711" t="s">
        <v>15</v>
      </c>
      <c r="W53" s="712"/>
    </row>
    <row r="54" spans="1:23" ht="14.45" hidden="1" customHeight="1" x14ac:dyDescent="0.25">
      <c r="A54" s="49">
        <v>1</v>
      </c>
      <c r="B54" s="680" t="str">
        <f>VLOOKUP($A54,$A$69:$D$72,2,FALSE)</f>
        <v>4eme A</v>
      </c>
      <c r="C54" s="680"/>
      <c r="D54" s="683">
        <f>VLOOKUP($A54,$A$69:$D$72,4,FALSE)</f>
        <v>3.9999999999999998E-7</v>
      </c>
      <c r="E54" s="683"/>
      <c r="F54" s="105"/>
      <c r="G54" s="49">
        <v>1</v>
      </c>
      <c r="H54" s="680" t="str">
        <f>VLOOKUP($G54,$G$69:$J$72,2,FALSE)</f>
        <v>3eme A</v>
      </c>
      <c r="I54" s="680"/>
      <c r="J54" s="681">
        <f>VLOOKUP($G54,$G$69:$J$72,4,FALSE)</f>
        <v>3.9999999999999998E-7</v>
      </c>
      <c r="K54" s="681"/>
      <c r="L54" s="76"/>
      <c r="M54" s="49">
        <v>1</v>
      </c>
      <c r="N54" s="680" t="str">
        <f>VLOOKUP($M54,$M$69:$P$72,2,FALSE)</f>
        <v>2eme A</v>
      </c>
      <c r="O54" s="680"/>
      <c r="P54" s="681">
        <f>VLOOKUP($M54,$M$69:$P$72,4,FALSE)</f>
        <v>3.9999999999999998E-7</v>
      </c>
      <c r="Q54" s="681"/>
      <c r="R54" s="105"/>
      <c r="S54" s="49">
        <v>1</v>
      </c>
      <c r="T54" s="680" t="str">
        <f>VLOOKUP($S54,$S$69:$V$72,2,FALSE)</f>
        <v>1er A</v>
      </c>
      <c r="U54" s="680"/>
      <c r="V54" s="681">
        <f>VLOOKUP($S54,$S$69:$V$72,4,FALSE)</f>
        <v>3.9999999999999998E-7</v>
      </c>
      <c r="W54" s="681"/>
    </row>
    <row r="55" spans="1:23" ht="14.45" hidden="1" customHeight="1" x14ac:dyDescent="0.25">
      <c r="A55" s="49">
        <v>2</v>
      </c>
      <c r="B55" s="680" t="str">
        <f t="shared" ref="B55:B57" si="0">VLOOKUP($A55,$A$69:$D$72,2,FALSE)</f>
        <v>4eme B</v>
      </c>
      <c r="C55" s="680"/>
      <c r="D55" s="683">
        <f t="shared" ref="D55:D57" si="1">VLOOKUP($A55,$A$69:$D$72,4,FALSE)</f>
        <v>2.9999999999999999E-7</v>
      </c>
      <c r="E55" s="683"/>
      <c r="F55" s="105"/>
      <c r="G55" s="49">
        <v>2</v>
      </c>
      <c r="H55" s="680" t="str">
        <f t="shared" ref="H55:H57" si="2">VLOOKUP($G55,$G$69:$J$72,2,FALSE)</f>
        <v>3eme B</v>
      </c>
      <c r="I55" s="680"/>
      <c r="J55" s="681">
        <f t="shared" ref="J55:J57" si="3">VLOOKUP($G55,$G$69:$J$72,4,FALSE)</f>
        <v>2.9999999999999999E-7</v>
      </c>
      <c r="K55" s="681"/>
      <c r="L55" s="76"/>
      <c r="M55" s="49">
        <v>2</v>
      </c>
      <c r="N55" s="680" t="str">
        <f t="shared" ref="N55:N57" si="4">VLOOKUP($M55,$M$69:$P$72,2,FALSE)</f>
        <v>2eme B</v>
      </c>
      <c r="O55" s="680"/>
      <c r="P55" s="681">
        <f t="shared" ref="P55:P57" si="5">VLOOKUP($M55,$M$69:$P$72,4,FALSE)</f>
        <v>2.9999999999999999E-7</v>
      </c>
      <c r="Q55" s="681"/>
      <c r="R55" s="105"/>
      <c r="S55" s="49">
        <v>2</v>
      </c>
      <c r="T55" s="680" t="str">
        <f t="shared" ref="T55:T57" si="6">VLOOKUP($S55,$S$69:$V$72,2,FALSE)</f>
        <v>1er B</v>
      </c>
      <c r="U55" s="680"/>
      <c r="V55" s="681">
        <f t="shared" ref="V55:V57" si="7">VLOOKUP($S55,$S$69:$V$72,4,FALSE)</f>
        <v>2.9999999999999999E-7</v>
      </c>
      <c r="W55" s="681"/>
    </row>
    <row r="56" spans="1:23" ht="14.45" hidden="1" customHeight="1" x14ac:dyDescent="0.25">
      <c r="A56" s="49">
        <v>3</v>
      </c>
      <c r="B56" s="680" t="str">
        <f t="shared" si="0"/>
        <v>3eme C</v>
      </c>
      <c r="C56" s="680"/>
      <c r="D56" s="683">
        <f t="shared" si="1"/>
        <v>1.9999999999999999E-7</v>
      </c>
      <c r="E56" s="683"/>
      <c r="F56" s="105"/>
      <c r="G56" s="49">
        <v>3</v>
      </c>
      <c r="H56" s="680" t="str">
        <f t="shared" si="2"/>
        <v>4eme C</v>
      </c>
      <c r="I56" s="680"/>
      <c r="J56" s="681">
        <f t="shared" si="3"/>
        <v>1.9999999999999999E-7</v>
      </c>
      <c r="K56" s="681"/>
      <c r="L56" s="76"/>
      <c r="M56" s="49">
        <v>3</v>
      </c>
      <c r="N56" s="680" t="str">
        <f t="shared" si="4"/>
        <v>1er C</v>
      </c>
      <c r="O56" s="680"/>
      <c r="P56" s="681">
        <f t="shared" si="5"/>
        <v>1.9999999999999999E-7</v>
      </c>
      <c r="Q56" s="681"/>
      <c r="R56" s="105"/>
      <c r="S56" s="49">
        <v>3</v>
      </c>
      <c r="T56" s="680" t="str">
        <f t="shared" si="6"/>
        <v>2eme C</v>
      </c>
      <c r="U56" s="680"/>
      <c r="V56" s="681">
        <f t="shared" si="7"/>
        <v>1.9999999999999999E-7</v>
      </c>
      <c r="W56" s="681"/>
    </row>
    <row r="57" spans="1:23" ht="14.45" hidden="1" customHeight="1" thickBot="1" x14ac:dyDescent="0.3">
      <c r="A57" s="50">
        <v>4</v>
      </c>
      <c r="B57" s="680" t="str">
        <f t="shared" si="0"/>
        <v>3eme D</v>
      </c>
      <c r="C57" s="680"/>
      <c r="D57" s="683">
        <f t="shared" si="1"/>
        <v>9.9999999999999995E-8</v>
      </c>
      <c r="E57" s="683"/>
      <c r="F57" s="123"/>
      <c r="G57" s="50">
        <v>4</v>
      </c>
      <c r="H57" s="680" t="str">
        <f t="shared" si="2"/>
        <v>4eme D</v>
      </c>
      <c r="I57" s="680"/>
      <c r="J57" s="681">
        <f t="shared" si="3"/>
        <v>9.9999999999999995E-8</v>
      </c>
      <c r="K57" s="681"/>
      <c r="L57" s="78"/>
      <c r="M57" s="50">
        <v>4</v>
      </c>
      <c r="N57" s="680" t="str">
        <f t="shared" si="4"/>
        <v>1er D</v>
      </c>
      <c r="O57" s="680"/>
      <c r="P57" s="681">
        <f t="shared" si="5"/>
        <v>9.9999999999999995E-8</v>
      </c>
      <c r="Q57" s="681"/>
      <c r="R57" s="123"/>
      <c r="S57" s="50">
        <v>4</v>
      </c>
      <c r="T57" s="680" t="str">
        <f t="shared" si="6"/>
        <v>2eme D</v>
      </c>
      <c r="U57" s="680"/>
      <c r="V57" s="681">
        <f t="shared" si="7"/>
        <v>9.9999999999999995E-8</v>
      </c>
      <c r="W57" s="681"/>
    </row>
    <row r="58" spans="1:23" ht="15" hidden="1" customHeight="1" thickBot="1" x14ac:dyDescent="0.3">
      <c r="A58" s="768" t="s">
        <v>34</v>
      </c>
      <c r="B58" s="675"/>
      <c r="C58" s="675"/>
      <c r="D58" s="675"/>
      <c r="E58" s="675"/>
      <c r="F58" s="675"/>
      <c r="G58" s="675"/>
      <c r="H58" s="675"/>
      <c r="I58" s="675"/>
      <c r="J58" s="675"/>
      <c r="K58" s="675"/>
      <c r="L58" s="675"/>
      <c r="M58" s="675"/>
      <c r="N58" s="675"/>
      <c r="O58" s="675"/>
      <c r="P58" s="675"/>
      <c r="Q58" s="675"/>
      <c r="R58" s="675"/>
      <c r="S58" s="675"/>
      <c r="T58" s="675"/>
      <c r="U58" s="675"/>
      <c r="V58" s="675"/>
      <c r="W58" s="676"/>
    </row>
    <row r="59" spans="1:23" s="2" customFormat="1" x14ac:dyDescent="0.25">
      <c r="A59" s="771" t="s">
        <v>222</v>
      </c>
      <c r="B59" s="771"/>
      <c r="C59" s="771"/>
      <c r="D59" s="771"/>
      <c r="E59" s="771"/>
      <c r="F59" s="771"/>
      <c r="G59" s="771"/>
      <c r="H59" s="771"/>
      <c r="I59" s="771"/>
      <c r="J59" s="771"/>
      <c r="K59" s="771"/>
      <c r="L59" s="771"/>
      <c r="M59" s="771"/>
      <c r="N59" s="771"/>
      <c r="O59" s="771"/>
      <c r="P59" s="771"/>
      <c r="Q59" s="771"/>
      <c r="R59" s="771"/>
      <c r="S59" s="771"/>
      <c r="T59" s="771"/>
      <c r="U59" s="771"/>
      <c r="V59" s="771"/>
      <c r="W59" s="771"/>
    </row>
    <row r="60" spans="1:23" s="2" customFormat="1" hidden="1" x14ac:dyDescent="0.25"/>
    <row r="61" spans="1:23" ht="16.5" hidden="1" thickBot="1" x14ac:dyDescent="0.3">
      <c r="A61" s="670" t="s">
        <v>49</v>
      </c>
      <c r="B61" s="671"/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2"/>
    </row>
    <row r="62" spans="1:23" ht="14.45" hidden="1" customHeight="1" x14ac:dyDescent="0.25">
      <c r="A62" s="96"/>
      <c r="B62" s="711" t="s">
        <v>1</v>
      </c>
      <c r="C62" s="711"/>
      <c r="D62" s="711" t="s">
        <v>15</v>
      </c>
      <c r="E62" s="772"/>
      <c r="F62" s="773"/>
      <c r="G62" s="121"/>
      <c r="H62" s="711" t="s">
        <v>2</v>
      </c>
      <c r="I62" s="711"/>
      <c r="J62" s="711" t="s">
        <v>15</v>
      </c>
      <c r="K62" s="772"/>
      <c r="L62" s="75"/>
      <c r="M62" s="121"/>
      <c r="N62" s="711" t="s">
        <v>3</v>
      </c>
      <c r="O62" s="711"/>
      <c r="P62" s="711" t="s">
        <v>15</v>
      </c>
      <c r="Q62" s="772"/>
      <c r="R62" s="122"/>
      <c r="S62" s="96"/>
      <c r="T62" s="711" t="s">
        <v>4</v>
      </c>
      <c r="U62" s="711"/>
      <c r="V62" s="711" t="s">
        <v>15</v>
      </c>
      <c r="W62" s="712"/>
    </row>
    <row r="63" spans="1:23" ht="14.45" hidden="1" customHeight="1" x14ac:dyDescent="0.25">
      <c r="A63" s="86">
        <f>RANK(D63,$D$63:$D$66)</f>
        <v>1</v>
      </c>
      <c r="B63" s="69" t="str">
        <f>B8</f>
        <v>Equipe 1</v>
      </c>
      <c r="C63" s="69">
        <f>D14-E14+D18-E18+D22-E22</f>
        <v>0</v>
      </c>
      <c r="D63" s="681">
        <f>D8+4/10000000</f>
        <v>3.9999999999999998E-7</v>
      </c>
      <c r="E63" s="767"/>
      <c r="F63" s="774"/>
      <c r="G63" s="91">
        <f>RANK(J63,$J$63:$J$66)</f>
        <v>1</v>
      </c>
      <c r="H63" s="69" t="str">
        <f>H8</f>
        <v>Equipe 5</v>
      </c>
      <c r="I63" s="69">
        <f>J14-K14+J18-K18+J22-K22</f>
        <v>0</v>
      </c>
      <c r="J63" s="681">
        <f>J8+4/10000000</f>
        <v>3.9999999999999998E-7</v>
      </c>
      <c r="K63" s="767"/>
      <c r="L63" s="76"/>
      <c r="M63" s="91">
        <f>RANK(P63,$P$63:$P$66)</f>
        <v>1</v>
      </c>
      <c r="N63" s="69" t="str">
        <f>N8</f>
        <v>Equipe 9</v>
      </c>
      <c r="O63" s="69">
        <f>P14-Q14+P18-Q18+P22-Q22</f>
        <v>0</v>
      </c>
      <c r="P63" s="681">
        <f>P8+4/10000000</f>
        <v>3.9999999999999998E-7</v>
      </c>
      <c r="Q63" s="767"/>
      <c r="R63" s="105"/>
      <c r="S63" s="86">
        <f>RANK(V63,$V$63:$V$66)</f>
        <v>1</v>
      </c>
      <c r="T63" s="69" t="str">
        <f>T8</f>
        <v>Equipe 13</v>
      </c>
      <c r="U63" s="69">
        <f>V14-W14+V18-W18+V22-W22</f>
        <v>0</v>
      </c>
      <c r="V63" s="681">
        <f>V8+4/10000000</f>
        <v>3.9999999999999998E-7</v>
      </c>
      <c r="W63" s="682"/>
    </row>
    <row r="64" spans="1:23" ht="14.45" hidden="1" customHeight="1" x14ac:dyDescent="0.25">
      <c r="A64" s="86">
        <f t="shared" ref="A64:A66" si="8">RANK(D64,$D$63:$D$66)</f>
        <v>2</v>
      </c>
      <c r="B64" s="69" t="str">
        <f>B9</f>
        <v>Equipe 2</v>
      </c>
      <c r="C64" s="69">
        <f>E14-D14+D19-E19+D23-E23</f>
        <v>0</v>
      </c>
      <c r="D64" s="681">
        <f>D9+3/10000000</f>
        <v>2.9999999999999999E-7</v>
      </c>
      <c r="E64" s="767"/>
      <c r="F64" s="774"/>
      <c r="G64" s="91">
        <f t="shared" ref="G64:G66" si="9">RANK(J64,$J$63:$J$66)</f>
        <v>2</v>
      </c>
      <c r="H64" s="69" t="str">
        <f>H9</f>
        <v>Equipe 6</v>
      </c>
      <c r="I64" s="69">
        <f>K14-J14+J19-K19+J23-K23</f>
        <v>0</v>
      </c>
      <c r="J64" s="681">
        <f>J9+3/10000000</f>
        <v>2.9999999999999999E-7</v>
      </c>
      <c r="K64" s="767"/>
      <c r="L64" s="76"/>
      <c r="M64" s="91">
        <f t="shared" ref="M64:M66" si="10">RANK(P64,$P$63:$P$66)</f>
        <v>2</v>
      </c>
      <c r="N64" s="69" t="str">
        <f>N9</f>
        <v>Equipe 10</v>
      </c>
      <c r="O64" s="69">
        <f>Q14-P14+P19-Q19+P23-Q23</f>
        <v>0</v>
      </c>
      <c r="P64" s="681">
        <f>P9+3/10000000</f>
        <v>2.9999999999999999E-7</v>
      </c>
      <c r="Q64" s="767"/>
      <c r="R64" s="105"/>
      <c r="S64" s="86">
        <f t="shared" ref="S64:S66" si="11">RANK(V64,$V$63:$V$66)</f>
        <v>2</v>
      </c>
      <c r="T64" s="69" t="str">
        <f>T9</f>
        <v>Equipe 14</v>
      </c>
      <c r="U64" s="69">
        <f>W14-V14+V19-W19+V23-W23</f>
        <v>0</v>
      </c>
      <c r="V64" s="681">
        <f>V9+3/10000000</f>
        <v>2.9999999999999999E-7</v>
      </c>
      <c r="W64" s="682"/>
    </row>
    <row r="65" spans="1:23" ht="14.45" hidden="1" customHeight="1" x14ac:dyDescent="0.25">
      <c r="A65" s="86">
        <f t="shared" si="8"/>
        <v>3</v>
      </c>
      <c r="B65" s="69" t="str">
        <f>B10</f>
        <v>Equipe 3</v>
      </c>
      <c r="C65" s="69">
        <f>D15-E15+E18-D18+E23-D23</f>
        <v>0</v>
      </c>
      <c r="D65" s="681">
        <f>D10+2/10000000</f>
        <v>1.9999999999999999E-7</v>
      </c>
      <c r="E65" s="767"/>
      <c r="F65" s="774"/>
      <c r="G65" s="91">
        <f t="shared" si="9"/>
        <v>3</v>
      </c>
      <c r="H65" s="69" t="str">
        <f>H10</f>
        <v>Equipe 7</v>
      </c>
      <c r="I65" s="69">
        <f>J15-K15+K18-J18+K23-J23</f>
        <v>0</v>
      </c>
      <c r="J65" s="681">
        <f>J10+2/10000000</f>
        <v>1.9999999999999999E-7</v>
      </c>
      <c r="K65" s="767"/>
      <c r="L65" s="76"/>
      <c r="M65" s="91">
        <f t="shared" si="10"/>
        <v>3</v>
      </c>
      <c r="N65" s="69" t="str">
        <f>N10</f>
        <v>Equipe 11</v>
      </c>
      <c r="O65" s="69">
        <f>P15-Q15+Q18-P18+Q23-P23</f>
        <v>0</v>
      </c>
      <c r="P65" s="681">
        <f>P10+2/10000000</f>
        <v>1.9999999999999999E-7</v>
      </c>
      <c r="Q65" s="767"/>
      <c r="R65" s="105"/>
      <c r="S65" s="86">
        <f t="shared" si="11"/>
        <v>3</v>
      </c>
      <c r="T65" s="69" t="str">
        <f>T10</f>
        <v>Equipe 15</v>
      </c>
      <c r="U65" s="69">
        <f>V15-W15+W18-V18+W23-V23</f>
        <v>0</v>
      </c>
      <c r="V65" s="681">
        <f>V10+2/10000000</f>
        <v>1.9999999999999999E-7</v>
      </c>
      <c r="W65" s="682"/>
    </row>
    <row r="66" spans="1:23" ht="14.45" hidden="1" customHeight="1" thickBot="1" x14ac:dyDescent="0.3">
      <c r="A66" s="87">
        <f t="shared" si="8"/>
        <v>4</v>
      </c>
      <c r="B66" s="88" t="str">
        <f>B11</f>
        <v>Equipe 4</v>
      </c>
      <c r="C66" s="88">
        <f>E15-D15+E19-D19+E22-D22</f>
        <v>0</v>
      </c>
      <c r="D66" s="709">
        <f>D11+1/10000000</f>
        <v>9.9999999999999995E-8</v>
      </c>
      <c r="E66" s="761"/>
      <c r="F66" s="775"/>
      <c r="G66" s="92">
        <f t="shared" si="9"/>
        <v>4</v>
      </c>
      <c r="H66" s="88" t="str">
        <f>H11</f>
        <v>Equipe 8</v>
      </c>
      <c r="I66" s="88">
        <f>K15-J15+K19-J19+K22-J22</f>
        <v>0</v>
      </c>
      <c r="J66" s="709">
        <f>J11+1/10000000</f>
        <v>9.9999999999999995E-8</v>
      </c>
      <c r="K66" s="761"/>
      <c r="L66" s="78"/>
      <c r="M66" s="92">
        <f t="shared" si="10"/>
        <v>4</v>
      </c>
      <c r="N66" s="88" t="str">
        <f>N11</f>
        <v>Equipe 12</v>
      </c>
      <c r="O66" s="88">
        <f>Q15-P15+Q19-P19+Q22-P22</f>
        <v>0</v>
      </c>
      <c r="P66" s="709">
        <f>P11+1/10000000</f>
        <v>9.9999999999999995E-8</v>
      </c>
      <c r="Q66" s="761"/>
      <c r="R66" s="123"/>
      <c r="S66" s="87">
        <f t="shared" si="11"/>
        <v>4</v>
      </c>
      <c r="T66" s="88" t="str">
        <f>T11</f>
        <v>Equipe 16</v>
      </c>
      <c r="U66" s="88">
        <f>W15-V15+W19-V19+W22-V22</f>
        <v>0</v>
      </c>
      <c r="V66" s="709">
        <f>V11+1/10000000</f>
        <v>9.9999999999999995E-8</v>
      </c>
      <c r="W66" s="710"/>
    </row>
    <row r="67" spans="1:23" ht="16.5" hidden="1" thickBot="1" x14ac:dyDescent="0.3">
      <c r="A67" s="670" t="s">
        <v>47</v>
      </c>
      <c r="B67" s="671"/>
      <c r="C67" s="671"/>
      <c r="D67" s="671"/>
      <c r="E67" s="671"/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  <c r="V67" s="671"/>
      <c r="W67" s="672"/>
    </row>
    <row r="68" spans="1:23" ht="14.45" hidden="1" customHeight="1" x14ac:dyDescent="0.25">
      <c r="A68" s="96"/>
      <c r="B68" s="711" t="s">
        <v>62</v>
      </c>
      <c r="C68" s="711"/>
      <c r="D68" s="711" t="s">
        <v>15</v>
      </c>
      <c r="E68" s="712"/>
      <c r="F68" s="773"/>
      <c r="G68" s="96"/>
      <c r="H68" s="711" t="s">
        <v>63</v>
      </c>
      <c r="I68" s="711"/>
      <c r="J68" s="711" t="s">
        <v>15</v>
      </c>
      <c r="K68" s="712"/>
      <c r="L68" s="75"/>
      <c r="M68" s="96"/>
      <c r="N68" s="711" t="s">
        <v>64</v>
      </c>
      <c r="O68" s="711"/>
      <c r="P68" s="711" t="s">
        <v>15</v>
      </c>
      <c r="Q68" s="712"/>
      <c r="R68" s="122"/>
      <c r="S68" s="96"/>
      <c r="T68" s="711" t="s">
        <v>65</v>
      </c>
      <c r="U68" s="711"/>
      <c r="V68" s="711" t="s">
        <v>15</v>
      </c>
      <c r="W68" s="712"/>
    </row>
    <row r="69" spans="1:23" ht="14.45" hidden="1" customHeight="1" x14ac:dyDescent="0.25">
      <c r="A69" s="86">
        <f>RANK(D69,$D$69:$D$72)</f>
        <v>1</v>
      </c>
      <c r="B69" s="69" t="str">
        <f>B35</f>
        <v>4eme A</v>
      </c>
      <c r="C69" s="69">
        <f>D41-E41+D45-E45+D49-E49</f>
        <v>0</v>
      </c>
      <c r="D69" s="681">
        <f>D35+4/10000000</f>
        <v>3.9999999999999998E-7</v>
      </c>
      <c r="E69" s="682"/>
      <c r="F69" s="774"/>
      <c r="G69" s="86">
        <f>RANK(J69,$J$69:$J$72)</f>
        <v>1</v>
      </c>
      <c r="H69" s="69" t="str">
        <f>H35</f>
        <v>3eme A</v>
      </c>
      <c r="I69" s="69">
        <f>J41-K41+J45-K45+J49-K49</f>
        <v>0</v>
      </c>
      <c r="J69" s="681">
        <f>J35+4/10000000</f>
        <v>3.9999999999999998E-7</v>
      </c>
      <c r="K69" s="682"/>
      <c r="L69" s="76"/>
      <c r="M69" s="86">
        <f>RANK(P69,$P$69:$P$72)</f>
        <v>1</v>
      </c>
      <c r="N69" s="69" t="str">
        <f>N35</f>
        <v>2eme A</v>
      </c>
      <c r="O69" s="69">
        <f>P41-Q41+P45-Q45+P49-Q49</f>
        <v>0</v>
      </c>
      <c r="P69" s="681">
        <f>P35+4/10000000</f>
        <v>3.9999999999999998E-7</v>
      </c>
      <c r="Q69" s="682"/>
      <c r="R69" s="105"/>
      <c r="S69" s="86">
        <f>RANK(V69,$V$69:$V$72)</f>
        <v>1</v>
      </c>
      <c r="T69" s="69" t="str">
        <f>T35</f>
        <v>1er A</v>
      </c>
      <c r="U69" s="69">
        <f>V41-W41+V45-W45+V49-W49</f>
        <v>0</v>
      </c>
      <c r="V69" s="681">
        <f>V35+4/10000000</f>
        <v>3.9999999999999998E-7</v>
      </c>
      <c r="W69" s="682"/>
    </row>
    <row r="70" spans="1:23" ht="14.45" hidden="1" customHeight="1" x14ac:dyDescent="0.25">
      <c r="A70" s="86">
        <f t="shared" ref="A70:A72" si="12">RANK(D70,$D$69:$D$72)</f>
        <v>2</v>
      </c>
      <c r="B70" s="69" t="str">
        <f t="shared" ref="B70:B72" si="13">B36</f>
        <v>4eme B</v>
      </c>
      <c r="C70" s="69">
        <f>E41-D41+D46-E46+D50-E50</f>
        <v>0</v>
      </c>
      <c r="D70" s="681">
        <f>D36+3/10000000</f>
        <v>2.9999999999999999E-7</v>
      </c>
      <c r="E70" s="682"/>
      <c r="F70" s="774"/>
      <c r="G70" s="86">
        <f t="shared" ref="G70:G72" si="14">RANK(J70,$J$69:$J$72)</f>
        <v>2</v>
      </c>
      <c r="H70" s="69" t="str">
        <f t="shared" ref="H70:H72" si="15">H36</f>
        <v>3eme B</v>
      </c>
      <c r="I70" s="69">
        <f>K41-J41+J46-K46+J50-K50</f>
        <v>0</v>
      </c>
      <c r="J70" s="681">
        <f>J36+3/10000000</f>
        <v>2.9999999999999999E-7</v>
      </c>
      <c r="K70" s="682"/>
      <c r="L70" s="76"/>
      <c r="M70" s="86">
        <f t="shared" ref="M70:M72" si="16">RANK(P70,$P$69:$P$72)</f>
        <v>2</v>
      </c>
      <c r="N70" s="69" t="str">
        <f t="shared" ref="N70:N72" si="17">N36</f>
        <v>2eme B</v>
      </c>
      <c r="O70" s="69">
        <f>Q41-P41+P46-Q46+P50-Q50</f>
        <v>0</v>
      </c>
      <c r="P70" s="681">
        <f>P36+3/10000000</f>
        <v>2.9999999999999999E-7</v>
      </c>
      <c r="Q70" s="682"/>
      <c r="R70" s="105"/>
      <c r="S70" s="86">
        <f t="shared" ref="S70:S72" si="18">RANK(V70,$V$69:$V$72)</f>
        <v>2</v>
      </c>
      <c r="T70" s="69" t="str">
        <f t="shared" ref="T70:T72" si="19">T36</f>
        <v>1er B</v>
      </c>
      <c r="U70" s="69">
        <f>W41-V41+V46-W46+V50-W50</f>
        <v>0</v>
      </c>
      <c r="V70" s="681">
        <f>V36+3/10000000</f>
        <v>2.9999999999999999E-7</v>
      </c>
      <c r="W70" s="682"/>
    </row>
    <row r="71" spans="1:23" ht="14.45" hidden="1" customHeight="1" x14ac:dyDescent="0.25">
      <c r="A71" s="86">
        <f t="shared" si="12"/>
        <v>3</v>
      </c>
      <c r="B71" s="69" t="str">
        <f t="shared" si="13"/>
        <v>3eme C</v>
      </c>
      <c r="C71" s="69">
        <f>D42-E42+E45-D45+E50-D50</f>
        <v>0</v>
      </c>
      <c r="D71" s="681">
        <f>D37+2/10000000</f>
        <v>1.9999999999999999E-7</v>
      </c>
      <c r="E71" s="682"/>
      <c r="F71" s="774"/>
      <c r="G71" s="86">
        <f t="shared" si="14"/>
        <v>3</v>
      </c>
      <c r="H71" s="69" t="str">
        <f t="shared" si="15"/>
        <v>4eme C</v>
      </c>
      <c r="I71" s="69">
        <f>J42-K42+K45-J45+K50-J50</f>
        <v>0</v>
      </c>
      <c r="J71" s="681">
        <f>J37+2/10000000</f>
        <v>1.9999999999999999E-7</v>
      </c>
      <c r="K71" s="682"/>
      <c r="L71" s="76"/>
      <c r="M71" s="86">
        <f t="shared" si="16"/>
        <v>3</v>
      </c>
      <c r="N71" s="69" t="str">
        <f t="shared" si="17"/>
        <v>1er C</v>
      </c>
      <c r="O71" s="69">
        <f>P42-Q42+Q45-P45+Q50-P50</f>
        <v>0</v>
      </c>
      <c r="P71" s="681">
        <f>P37+2/10000000</f>
        <v>1.9999999999999999E-7</v>
      </c>
      <c r="Q71" s="682"/>
      <c r="R71" s="105"/>
      <c r="S71" s="86">
        <f t="shared" si="18"/>
        <v>3</v>
      </c>
      <c r="T71" s="69" t="str">
        <f t="shared" si="19"/>
        <v>2eme C</v>
      </c>
      <c r="U71" s="69">
        <f>V42-W42+W45-V45+W50-V50</f>
        <v>0</v>
      </c>
      <c r="V71" s="681">
        <f>V37+2/10000000</f>
        <v>1.9999999999999999E-7</v>
      </c>
      <c r="W71" s="682"/>
    </row>
    <row r="72" spans="1:23" ht="14.45" hidden="1" customHeight="1" thickBot="1" x14ac:dyDescent="0.3">
      <c r="A72" s="87">
        <f t="shared" si="12"/>
        <v>4</v>
      </c>
      <c r="B72" s="88" t="str">
        <f t="shared" si="13"/>
        <v>3eme D</v>
      </c>
      <c r="C72" s="88">
        <f>E42-D42+E46-D46+E49-D49</f>
        <v>0</v>
      </c>
      <c r="D72" s="709">
        <f>D38+1/10000000</f>
        <v>9.9999999999999995E-8</v>
      </c>
      <c r="E72" s="710"/>
      <c r="F72" s="775"/>
      <c r="G72" s="87">
        <f t="shared" si="14"/>
        <v>4</v>
      </c>
      <c r="H72" s="88" t="str">
        <f t="shared" si="15"/>
        <v>4eme D</v>
      </c>
      <c r="I72" s="88">
        <f>K42-J42+K46-J46+K49-J49</f>
        <v>0</v>
      </c>
      <c r="J72" s="709">
        <f>J38+1/10000000</f>
        <v>9.9999999999999995E-8</v>
      </c>
      <c r="K72" s="710"/>
      <c r="L72" s="78"/>
      <c r="M72" s="87">
        <f t="shared" si="16"/>
        <v>4</v>
      </c>
      <c r="N72" s="88" t="str">
        <f t="shared" si="17"/>
        <v>1er D</v>
      </c>
      <c r="O72" s="88">
        <f>Q42-P42+Q46-P46+Q49-P49</f>
        <v>0</v>
      </c>
      <c r="P72" s="709">
        <f>P38+1/10000000</f>
        <v>9.9999999999999995E-8</v>
      </c>
      <c r="Q72" s="710"/>
      <c r="R72" s="123"/>
      <c r="S72" s="87">
        <f t="shared" si="18"/>
        <v>4</v>
      </c>
      <c r="T72" s="88" t="str">
        <f t="shared" si="19"/>
        <v>2eme D</v>
      </c>
      <c r="U72" s="88">
        <f>W42-V42+W46-V46+W49-V49</f>
        <v>0</v>
      </c>
      <c r="V72" s="709">
        <f>V38+1/10000000</f>
        <v>9.9999999999999995E-8</v>
      </c>
      <c r="W72" s="710"/>
    </row>
    <row r="73" spans="1:23" hidden="1" x14ac:dyDescent="0.25">
      <c r="A73" s="700"/>
      <c r="B73" s="700"/>
      <c r="C73" s="700"/>
      <c r="D73" s="700"/>
      <c r="E73" s="700"/>
      <c r="F73" s="700"/>
      <c r="G73" s="700"/>
      <c r="H73" s="700"/>
      <c r="I73" s="700"/>
      <c r="J73" s="700"/>
      <c r="K73" s="700"/>
      <c r="L73" s="700"/>
      <c r="M73" s="700"/>
      <c r="N73" s="700"/>
      <c r="O73" s="700"/>
      <c r="P73" s="700"/>
      <c r="Q73" s="700"/>
    </row>
    <row r="74" spans="1:23" hidden="1" x14ac:dyDescent="0.25">
      <c r="A74" s="1">
        <f>IF(D14="",0,(IF(D14&gt;E14,3,IF(D14=E14,1,0))))</f>
        <v>0</v>
      </c>
      <c r="B74" s="1">
        <f>IF(E14="",0,(IF(E14&gt;D14,3,IF(E14=D14,1,0))))</f>
        <v>0</v>
      </c>
      <c r="G74" s="1">
        <f>IF(J14="",0,(IF(J14&gt;K14,3,IF(J14=K14,1,0))))</f>
        <v>0</v>
      </c>
      <c r="H74" s="1">
        <f>IF(K14="",0,(IF(K14&gt;J14,3,IF(K14=J14,1,0))))</f>
        <v>0</v>
      </c>
      <c r="M74" s="1">
        <f>IF(P14="",0,(IF(P14&gt;Q14,3,IF(P14=Q14,1,0))))</f>
        <v>0</v>
      </c>
      <c r="N74" s="1">
        <f>IF(Q14="",0,(IF(Q14&gt;P14,3,IF(Q14=P14,1,0))))</f>
        <v>0</v>
      </c>
      <c r="S74" s="1">
        <f>IF(V14="",0,(IF(V14&gt;W14,3,IF(V14=W14,1,0))))</f>
        <v>0</v>
      </c>
      <c r="T74" s="1">
        <f>IF(W14="",0,(IF(W14&gt;V14,3,IF(W14=V14,1,0))))</f>
        <v>0</v>
      </c>
    </row>
    <row r="75" spans="1:23" hidden="1" x14ac:dyDescent="0.25">
      <c r="A75" s="1">
        <f>IF(D15="",0,(IF(D15&gt;E15,3,IF(D15=E15,1,0))))</f>
        <v>0</v>
      </c>
      <c r="B75" s="1">
        <f>IF(E15="",0,(IF(E15&gt;D15,3,IF(E15=D15,1,0))))</f>
        <v>0</v>
      </c>
      <c r="G75" s="1">
        <f>IF(J15="",0,(IF(J15&gt;K15,3,IF(J15=K15,1,0))))</f>
        <v>0</v>
      </c>
      <c r="H75" s="1">
        <f>IF(K15="",0,(IF(K15&gt;J15,3,IF(K15=J15,1,0))))</f>
        <v>0</v>
      </c>
      <c r="M75" s="1">
        <f>IF(P15="",0,(IF(P15&gt;Q15,3,IF(P15=Q15,1,0))))</f>
        <v>0</v>
      </c>
      <c r="N75" s="1">
        <f>IF(Q15="",0,(IF(Q15&gt;P15,3,IF(Q15=P15,1,0))))</f>
        <v>0</v>
      </c>
      <c r="S75" s="1">
        <f>IF(V15="",0,(IF(V15&gt;W15,3,IF(V15=W15,1,0))))</f>
        <v>0</v>
      </c>
      <c r="T75" s="1">
        <f>IF(W15="",0,(IF(W15&gt;V15,3,IF(W15=V15,1,0))))</f>
        <v>0</v>
      </c>
    </row>
    <row r="76" spans="1:23" hidden="1" x14ac:dyDescent="0.25"/>
    <row r="77" spans="1:23" hidden="1" x14ac:dyDescent="0.25"/>
    <row r="78" spans="1:23" hidden="1" x14ac:dyDescent="0.25">
      <c r="A78" s="1">
        <f>IF(D18="",0,(IF(D18&gt;E18,3,IF(D18=E18,1,0))))</f>
        <v>0</v>
      </c>
      <c r="B78" s="1">
        <f>IF(E18="",0,(IF(E18&gt;D18,3,IF(E18=D18,1,0))))</f>
        <v>0</v>
      </c>
      <c r="G78" s="1">
        <f>IF(J18="",0,(IF(J18&gt;K18,3,IF(J18=K18,1,0))))</f>
        <v>0</v>
      </c>
      <c r="H78" s="1">
        <f>IF(K18="",0,(IF(K18&gt;J18,3,IF(K18=J18,1,0))))</f>
        <v>0</v>
      </c>
      <c r="M78" s="1">
        <f>IF(P18="",0,(IF(P18&gt;Q18,3,IF(P18=Q18,1,0))))</f>
        <v>0</v>
      </c>
      <c r="N78" s="1">
        <f>IF(Q18="",0,(IF(Q18&gt;P18,3,IF(Q18=P18,1,0))))</f>
        <v>0</v>
      </c>
      <c r="S78" s="1">
        <f>IF(V18="",0,(IF(V18&gt;W18,3,IF(V18=W18,1,0))))</f>
        <v>0</v>
      </c>
      <c r="T78" s="1">
        <f>IF(W18="",0,(IF(W18&gt;V18,3,IF(W18=V18,1,0))))</f>
        <v>0</v>
      </c>
    </row>
    <row r="79" spans="1:23" hidden="1" x14ac:dyDescent="0.25">
      <c r="A79" s="1">
        <f>IF(D19="",0,(IF(D19&gt;E19,3,IF(D19=E19,1,0))))</f>
        <v>0</v>
      </c>
      <c r="B79" s="1">
        <f>IF(E19="",0,(IF(E19&gt;D19,3,IF(E19=D19,1,0))))</f>
        <v>0</v>
      </c>
      <c r="G79" s="1">
        <f>IF(J19="",0,(IF(J19&gt;K19,3,IF(J19=K19,1,0))))</f>
        <v>0</v>
      </c>
      <c r="H79" s="1">
        <f>IF(K19="",0,(IF(K19&gt;J19,3,IF(K19=J19,1,0))))</f>
        <v>0</v>
      </c>
      <c r="M79" s="1">
        <f>IF(P19="",0,(IF(P19&gt;Q19,3,IF(P19=Q19,1,0))))</f>
        <v>0</v>
      </c>
      <c r="N79" s="1">
        <f>IF(Q19="",0,(IF(Q19&gt;P19,3,IF(Q19=P19,1,0))))</f>
        <v>0</v>
      </c>
      <c r="S79" s="1">
        <f>IF(V19="",0,(IF(V19&gt;W19,3,IF(V19=W19,1,0))))</f>
        <v>0</v>
      </c>
      <c r="T79" s="1">
        <f>IF(W19="",0,(IF(W19&gt;V19,3,IF(W19=V19,1,0))))</f>
        <v>0</v>
      </c>
    </row>
    <row r="80" spans="1:23" hidden="1" x14ac:dyDescent="0.25"/>
    <row r="81" spans="1:20" hidden="1" x14ac:dyDescent="0.25"/>
    <row r="82" spans="1:20" hidden="1" x14ac:dyDescent="0.25">
      <c r="A82" s="1">
        <f>IF(D22="",0,(IF(D22&gt;E22,3,IF(D22=E22,1,0))))</f>
        <v>0</v>
      </c>
      <c r="B82" s="1">
        <f>IF(E22="",0,(IF(E22&gt;D22,3,IF(E22=D22,1,0))))</f>
        <v>0</v>
      </c>
      <c r="G82" s="1">
        <f>IF(J22="",0,(IF(J22&gt;K22,3,IF(J22=K22,1,0))))</f>
        <v>0</v>
      </c>
      <c r="H82" s="1">
        <f>IF(K22="",0,(IF(K22&gt;J22,3,IF(K22=J22,1,0))))</f>
        <v>0</v>
      </c>
      <c r="M82" s="1">
        <f>IF(P22="",0,(IF(P22&gt;Q22,3,IF(P22=Q22,1,0))))</f>
        <v>0</v>
      </c>
      <c r="N82" s="1">
        <f>IF(Q22="",0,(IF(Q22&gt;P22,3,IF(Q22=P22,1,0))))</f>
        <v>0</v>
      </c>
      <c r="S82" s="1">
        <f>IF(V22="",0,(IF(V22&gt;W22,3,IF(V22=W22,1,0))))</f>
        <v>0</v>
      </c>
      <c r="T82" s="1">
        <f>IF(W22="",0,(IF(W22&gt;V22,3,IF(W22=V22,1,0))))</f>
        <v>0</v>
      </c>
    </row>
    <row r="83" spans="1:20" hidden="1" x14ac:dyDescent="0.25">
      <c r="A83" s="1">
        <f>IF(D23="",0,(IF(D23&gt;E23,3,IF(D23=E23,1,0))))</f>
        <v>0</v>
      </c>
      <c r="B83" s="1">
        <f>IF(E23="",0,(IF(E23&gt;D23,3,IF(E23=D23,1,0))))</f>
        <v>0</v>
      </c>
      <c r="G83" s="1">
        <f>IF(J23="",0,(IF(J23&gt;K23,3,IF(J23=K23,1,0))))</f>
        <v>0</v>
      </c>
      <c r="H83" s="1">
        <f>IF(K23="",0,(IF(K23&gt;J23,3,IF(K23=J23,1,0))))</f>
        <v>0</v>
      </c>
      <c r="M83" s="1">
        <f>IF(P23="",0,(IF(P23&gt;Q23,3,IF(P23=Q23,1,0))))</f>
        <v>0</v>
      </c>
      <c r="N83" s="1">
        <f>IF(Q23="",0,(IF(Q23&gt;P23,3,IF(Q23=P23,1,0))))</f>
        <v>0</v>
      </c>
      <c r="S83" s="1">
        <f>IF(V23="",0,(IF(V23&gt;W23,3,IF(V23=W23,1,0))))</f>
        <v>0</v>
      </c>
      <c r="T83" s="1">
        <f>IF(W23="",0,(IF(W23&gt;V23,3,IF(W23=V23,1,0))))</f>
        <v>0</v>
      </c>
    </row>
    <row r="84" spans="1:20" hidden="1" x14ac:dyDescent="0.25"/>
    <row r="85" spans="1:20" hidden="1" x14ac:dyDescent="0.25"/>
    <row r="86" spans="1:20" hidden="1" x14ac:dyDescent="0.25"/>
    <row r="87" spans="1:20" hidden="1" x14ac:dyDescent="0.25"/>
    <row r="88" spans="1:20" hidden="1" x14ac:dyDescent="0.25"/>
    <row r="89" spans="1:20" hidden="1" x14ac:dyDescent="0.25"/>
    <row r="90" spans="1:20" hidden="1" x14ac:dyDescent="0.25"/>
    <row r="91" spans="1:20" hidden="1" x14ac:dyDescent="0.25"/>
    <row r="92" spans="1:20" hidden="1" x14ac:dyDescent="0.25"/>
    <row r="93" spans="1:20" hidden="1" x14ac:dyDescent="0.25"/>
    <row r="94" spans="1:20" hidden="1" x14ac:dyDescent="0.25"/>
    <row r="95" spans="1:20" hidden="1" x14ac:dyDescent="0.25"/>
    <row r="96" spans="1:20" hidden="1" x14ac:dyDescent="0.25"/>
    <row r="97" spans="1:20" hidden="1" x14ac:dyDescent="0.25"/>
    <row r="98" spans="1:20" hidden="1" x14ac:dyDescent="0.25"/>
    <row r="99" spans="1:20" hidden="1" x14ac:dyDescent="0.25"/>
    <row r="100" spans="1:20" hidden="1" x14ac:dyDescent="0.25">
      <c r="A100" s="1">
        <f>IF(D41="",0,(IF(D41&gt;E41,3,IF(D41=E41,1,0))))</f>
        <v>0</v>
      </c>
      <c r="B100" s="1">
        <f>IF(E41="",0,(IF(E41&gt;D41,3,IF(E41=D41,1,0))))</f>
        <v>0</v>
      </c>
      <c r="G100" s="1">
        <f>IF(J41="",0,(IF(J41&gt;K41,3,IF(J41=K41,1,0))))</f>
        <v>0</v>
      </c>
      <c r="H100" s="1">
        <f>IF(K41="",0,(IF(K41&gt;J41,3,IF(K41=J41,1,0))))</f>
        <v>0</v>
      </c>
      <c r="M100" s="1">
        <f>IF(P41="",0,(IF(P41&gt;Q41,3,IF(P41=Q41,1,0))))</f>
        <v>0</v>
      </c>
      <c r="N100" s="1">
        <f>IF(Q41="",0,(IF(Q41&gt;P41,3,IF(Q41=P41,1,0))))</f>
        <v>0</v>
      </c>
      <c r="S100" s="1">
        <f>IF(V41="",0,(IF(V41&gt;W41,3,IF(V41=W41,1,0))))</f>
        <v>0</v>
      </c>
      <c r="T100" s="1">
        <f>IF(W41="",0,(IF(W41&gt;V41,3,IF(W41=V41,1,0))))</f>
        <v>0</v>
      </c>
    </row>
    <row r="101" spans="1:20" hidden="1" x14ac:dyDescent="0.25">
      <c r="A101" s="1">
        <f>IF(D42="",0,(IF(D42&gt;E42,3,IF(D42=E42,1,0))))</f>
        <v>0</v>
      </c>
      <c r="B101" s="1">
        <f>IF(E42="",0,(IF(E42&gt;D42,3,IF(E42=D42,1,0))))</f>
        <v>0</v>
      </c>
      <c r="G101" s="1">
        <f>IF(J42="",0,(IF(J42&gt;K42,3,IF(J42=K42,1,0))))</f>
        <v>0</v>
      </c>
      <c r="H101" s="1">
        <f>IF(K42="",0,(IF(K42&gt;J42,3,IF(K42=J42,1,0))))</f>
        <v>0</v>
      </c>
      <c r="M101" s="1">
        <f>IF(P42="",0,(IF(P42&gt;Q42,3,IF(P42=Q42,1,0))))</f>
        <v>0</v>
      </c>
      <c r="N101" s="1">
        <f>IF(Q42="",0,(IF(Q42&gt;P42,3,IF(Q42=P42,1,0))))</f>
        <v>0</v>
      </c>
      <c r="S101" s="1">
        <f>IF(V42="",0,(IF(V42&gt;W42,3,IF(V42=W42,1,0))))</f>
        <v>0</v>
      </c>
      <c r="T101" s="1">
        <f>IF(W42="",0,(IF(W42&gt;V42,3,IF(W42=V42,1,0))))</f>
        <v>0</v>
      </c>
    </row>
    <row r="102" spans="1:20" hidden="1" x14ac:dyDescent="0.25"/>
    <row r="103" spans="1:20" hidden="1" x14ac:dyDescent="0.25"/>
    <row r="104" spans="1:20" hidden="1" x14ac:dyDescent="0.25">
      <c r="A104" s="1">
        <f>IF(D45="",0,(IF(D45&gt;E45,3,IF(D45=E45,1,0))))</f>
        <v>0</v>
      </c>
      <c r="B104" s="1">
        <f>IF(E45="",0,(IF(E45&gt;D45,3,IF(E45=D45,1,0))))</f>
        <v>0</v>
      </c>
      <c r="G104" s="1">
        <f>IF(J45="",0,(IF(J45&gt;K45,3,IF(J45=K45,1,0))))</f>
        <v>0</v>
      </c>
      <c r="H104" s="1">
        <f>IF(K45="",0,(IF(K45&gt;J45,3,IF(K45=J45,1,0))))</f>
        <v>0</v>
      </c>
      <c r="M104" s="1">
        <f>IF(P45="",0,(IF(P45&gt;Q45,3,IF(P45=Q45,1,0))))</f>
        <v>0</v>
      </c>
      <c r="N104" s="1">
        <f>IF(Q45="",0,(IF(Q45&gt;P45,3,IF(Q45=P45,1,0))))</f>
        <v>0</v>
      </c>
      <c r="S104" s="1">
        <f>IF(V45="",0,(IF(V45&gt;W45,3,IF(V45=W45,1,0))))</f>
        <v>0</v>
      </c>
      <c r="T104" s="1">
        <f>IF(W45="",0,(IF(W45&gt;V45,3,IF(W45=V45,1,0))))</f>
        <v>0</v>
      </c>
    </row>
    <row r="105" spans="1:20" hidden="1" x14ac:dyDescent="0.25">
      <c r="A105" s="1">
        <f>IF(D46="",0,(IF(D46&gt;E46,3,IF(D46=E46,1,0))))</f>
        <v>0</v>
      </c>
      <c r="B105" s="1">
        <f>IF(E46="",0,(IF(E46&gt;D46,3,IF(E46=D46,1,0))))</f>
        <v>0</v>
      </c>
      <c r="G105" s="1">
        <f>IF(J46="",0,(IF(J46&gt;K46,3,IF(J46=K46,1,0))))</f>
        <v>0</v>
      </c>
      <c r="H105" s="1">
        <f>IF(K46="",0,(IF(K46&gt;J46,3,IF(K46=J46,1,0))))</f>
        <v>0</v>
      </c>
      <c r="M105" s="1">
        <f>IF(P46="",0,(IF(P46&gt;Q46,3,IF(P46=Q46,1,0))))</f>
        <v>0</v>
      </c>
      <c r="N105" s="1">
        <f>IF(Q46="",0,(IF(Q46&gt;P46,3,IF(Q46=P46,1,0))))</f>
        <v>0</v>
      </c>
      <c r="S105" s="1">
        <f>IF(V46="",0,(IF(V46&gt;W46,3,IF(V46=W46,1,0))))</f>
        <v>0</v>
      </c>
      <c r="T105" s="1">
        <f>IF(W46="",0,(IF(W46&gt;V46,3,IF(W46=V46,1,0))))</f>
        <v>0</v>
      </c>
    </row>
    <row r="106" spans="1:20" hidden="1" x14ac:dyDescent="0.25"/>
    <row r="107" spans="1:20" hidden="1" x14ac:dyDescent="0.25"/>
    <row r="108" spans="1:20" hidden="1" x14ac:dyDescent="0.25">
      <c r="A108" s="1">
        <f>IF(D49="",0,(IF(D49&gt;E49,3,IF(D49=E49,1,0))))</f>
        <v>0</v>
      </c>
      <c r="B108" s="1">
        <f>IF(E49="",0,(IF(E49&gt;D49,3,IF(E49=D49,1,0))))</f>
        <v>0</v>
      </c>
      <c r="G108" s="1">
        <f>IF(J49="",0,(IF(J49&gt;K49,3,IF(J49=K49,1,0))))</f>
        <v>0</v>
      </c>
      <c r="H108" s="1">
        <f>IF(K49="",0,(IF(K49&gt;J49,3,IF(K49=J49,1,0))))</f>
        <v>0</v>
      </c>
      <c r="M108" s="1">
        <f>IF(P49="",0,(IF(P49&gt;Q49,3,IF(P49=Q49,1,0))))</f>
        <v>0</v>
      </c>
      <c r="N108" s="1">
        <f>IF(Q49="",0,(IF(Q49&gt;P49,3,IF(Q49=P49,1,0))))</f>
        <v>0</v>
      </c>
      <c r="S108" s="1">
        <f>IF(V49="",0,(IF(V49&gt;W49,3,IF(V49=W49,1,0))))</f>
        <v>0</v>
      </c>
      <c r="T108" s="1">
        <f>IF(W49="",0,(IF(W49&gt;V49,3,IF(W49=V49,1,0))))</f>
        <v>0</v>
      </c>
    </row>
    <row r="109" spans="1:20" hidden="1" x14ac:dyDescent="0.25">
      <c r="A109" s="1">
        <f>IF(D50="",0,(IF(D50&gt;E50,3,IF(D50=E50,1,0))))</f>
        <v>0</v>
      </c>
      <c r="B109" s="1">
        <f>IF(E50="",0,(IF(E50&gt;D50,3,IF(E50=D50,1,0))))</f>
        <v>0</v>
      </c>
      <c r="G109" s="1">
        <f>IF(J50="",0,(IF(J50&gt;K50,3,IF(J50=K50,1,0))))</f>
        <v>0</v>
      </c>
      <c r="H109" s="1">
        <f>IF(K50="",0,(IF(K50&gt;J50,3,IF(K50=J50,1,0))))</f>
        <v>0</v>
      </c>
      <c r="M109" s="1">
        <f>IF(P50="",0,(IF(P50&gt;Q50,3,IF(P50=Q50,1,0))))</f>
        <v>0</v>
      </c>
      <c r="N109" s="1">
        <f>IF(Q50="",0,(IF(Q50&gt;P50,3,IF(Q50=P50,1,0))))</f>
        <v>0</v>
      </c>
      <c r="S109" s="1">
        <f>IF(V50="",0,(IF(V50&gt;W50,3,IF(V50=W50,1,0))))</f>
        <v>0</v>
      </c>
      <c r="T109" s="1">
        <f>IF(W50="",0,(IF(W50&gt;V50,3,IF(W50=V50,1,0))))</f>
        <v>0</v>
      </c>
    </row>
    <row r="110" spans="1:20" hidden="1" x14ac:dyDescent="0.25"/>
    <row r="111" spans="1:20" hidden="1" x14ac:dyDescent="0.25"/>
  </sheetData>
  <sheetProtection sheet="1" scenarios="1" selectLockedCells="1"/>
  <mergeCells count="280">
    <mergeCell ref="A73:Q73"/>
    <mergeCell ref="D70:E70"/>
    <mergeCell ref="J70:K70"/>
    <mergeCell ref="P70:Q70"/>
    <mergeCell ref="V70:W70"/>
    <mergeCell ref="D71:E71"/>
    <mergeCell ref="J71:K71"/>
    <mergeCell ref="P71:Q71"/>
    <mergeCell ref="V71:W71"/>
    <mergeCell ref="N68:O68"/>
    <mergeCell ref="P68:Q68"/>
    <mergeCell ref="T68:U68"/>
    <mergeCell ref="V68:W68"/>
    <mergeCell ref="D69:E69"/>
    <mergeCell ref="J69:K69"/>
    <mergeCell ref="P69:Q69"/>
    <mergeCell ref="V69:W69"/>
    <mergeCell ref="D66:E66"/>
    <mergeCell ref="J66:K66"/>
    <mergeCell ref="P66:Q66"/>
    <mergeCell ref="V66:W66"/>
    <mergeCell ref="A67:W67"/>
    <mergeCell ref="B68:C68"/>
    <mergeCell ref="D68:E68"/>
    <mergeCell ref="F68:F72"/>
    <mergeCell ref="H68:I68"/>
    <mergeCell ref="J68:K68"/>
    <mergeCell ref="D72:E72"/>
    <mergeCell ref="J72:K72"/>
    <mergeCell ref="P72:Q72"/>
    <mergeCell ref="V72:W72"/>
    <mergeCell ref="A58:W58"/>
    <mergeCell ref="A59:W59"/>
    <mergeCell ref="A61:W61"/>
    <mergeCell ref="B62:C62"/>
    <mergeCell ref="D62:E62"/>
    <mergeCell ref="F62:F66"/>
    <mergeCell ref="H62:I62"/>
    <mergeCell ref="J62:K62"/>
    <mergeCell ref="N62:O62"/>
    <mergeCell ref="P62:Q62"/>
    <mergeCell ref="D64:E64"/>
    <mergeCell ref="J64:K64"/>
    <mergeCell ref="P64:Q64"/>
    <mergeCell ref="V64:W64"/>
    <mergeCell ref="D65:E65"/>
    <mergeCell ref="J65:K65"/>
    <mergeCell ref="P65:Q65"/>
    <mergeCell ref="V65:W65"/>
    <mergeCell ref="T62:U62"/>
    <mergeCell ref="V62:W62"/>
    <mergeCell ref="D63:E63"/>
    <mergeCell ref="J63:K63"/>
    <mergeCell ref="P63:Q63"/>
    <mergeCell ref="V63:W63"/>
    <mergeCell ref="T56:U56"/>
    <mergeCell ref="V56:W56"/>
    <mergeCell ref="B57:C57"/>
    <mergeCell ref="D57:E57"/>
    <mergeCell ref="H57:I57"/>
    <mergeCell ref="J57:K57"/>
    <mergeCell ref="N57:O57"/>
    <mergeCell ref="P57:Q57"/>
    <mergeCell ref="T57:U57"/>
    <mergeCell ref="V57:W57"/>
    <mergeCell ref="B56:C56"/>
    <mergeCell ref="D56:E56"/>
    <mergeCell ref="H56:I56"/>
    <mergeCell ref="J56:K56"/>
    <mergeCell ref="N56:O56"/>
    <mergeCell ref="P56:Q56"/>
    <mergeCell ref="T54:U54"/>
    <mergeCell ref="V54:W54"/>
    <mergeCell ref="B55:C55"/>
    <mergeCell ref="D55:E55"/>
    <mergeCell ref="H55:I55"/>
    <mergeCell ref="J55:K55"/>
    <mergeCell ref="N55:O55"/>
    <mergeCell ref="P55:Q55"/>
    <mergeCell ref="T55:U55"/>
    <mergeCell ref="V55:W55"/>
    <mergeCell ref="B54:C54"/>
    <mergeCell ref="D54:E54"/>
    <mergeCell ref="H54:I54"/>
    <mergeCell ref="J54:K54"/>
    <mergeCell ref="N54:O54"/>
    <mergeCell ref="P54:Q54"/>
    <mergeCell ref="A52:W52"/>
    <mergeCell ref="B53:C53"/>
    <mergeCell ref="D53:E53"/>
    <mergeCell ref="H53:I53"/>
    <mergeCell ref="J53:K53"/>
    <mergeCell ref="N53:O53"/>
    <mergeCell ref="P53:Q53"/>
    <mergeCell ref="T53:U53"/>
    <mergeCell ref="V53:W53"/>
    <mergeCell ref="T44:U44"/>
    <mergeCell ref="V44:W44"/>
    <mergeCell ref="B48:C48"/>
    <mergeCell ref="D48:E48"/>
    <mergeCell ref="H48:I48"/>
    <mergeCell ref="J48:K48"/>
    <mergeCell ref="N48:O48"/>
    <mergeCell ref="P48:Q48"/>
    <mergeCell ref="T48:U48"/>
    <mergeCell ref="V48:W48"/>
    <mergeCell ref="B44:C44"/>
    <mergeCell ref="D44:E44"/>
    <mergeCell ref="H44:I44"/>
    <mergeCell ref="J44:K44"/>
    <mergeCell ref="N44:O44"/>
    <mergeCell ref="P44:Q44"/>
    <mergeCell ref="T38:U38"/>
    <mergeCell ref="V38:W38"/>
    <mergeCell ref="B40:C40"/>
    <mergeCell ref="D40:E40"/>
    <mergeCell ref="H40:I40"/>
    <mergeCell ref="J40:K40"/>
    <mergeCell ref="N40:O40"/>
    <mergeCell ref="P40:Q40"/>
    <mergeCell ref="T40:U40"/>
    <mergeCell ref="V40:W40"/>
    <mergeCell ref="B38:C38"/>
    <mergeCell ref="D38:E38"/>
    <mergeCell ref="H38:I38"/>
    <mergeCell ref="J38:K38"/>
    <mergeCell ref="N38:O38"/>
    <mergeCell ref="P38:Q38"/>
    <mergeCell ref="B37:C37"/>
    <mergeCell ref="D37:E37"/>
    <mergeCell ref="H37:I37"/>
    <mergeCell ref="J37:K37"/>
    <mergeCell ref="N37:O37"/>
    <mergeCell ref="P37:Q37"/>
    <mergeCell ref="T37:U37"/>
    <mergeCell ref="V37:W37"/>
    <mergeCell ref="B36:C36"/>
    <mergeCell ref="D36:E36"/>
    <mergeCell ref="H36:I36"/>
    <mergeCell ref="J36:K36"/>
    <mergeCell ref="N36:O36"/>
    <mergeCell ref="P36:Q36"/>
    <mergeCell ref="B35:C35"/>
    <mergeCell ref="D35:E35"/>
    <mergeCell ref="H35:I35"/>
    <mergeCell ref="J35:K35"/>
    <mergeCell ref="N35:O35"/>
    <mergeCell ref="P35:Q35"/>
    <mergeCell ref="T35:U35"/>
    <mergeCell ref="V35:W35"/>
    <mergeCell ref="T36:U36"/>
    <mergeCell ref="V36:W36"/>
    <mergeCell ref="A31:W31"/>
    <mergeCell ref="A33:H33"/>
    <mergeCell ref="J33:L33"/>
    <mergeCell ref="O33:W33"/>
    <mergeCell ref="B34:C34"/>
    <mergeCell ref="D34:E34"/>
    <mergeCell ref="H34:I34"/>
    <mergeCell ref="J34:K34"/>
    <mergeCell ref="N34:O34"/>
    <mergeCell ref="P34:Q34"/>
    <mergeCell ref="T34:U34"/>
    <mergeCell ref="V34:W34"/>
    <mergeCell ref="T29:U29"/>
    <mergeCell ref="V29:W29"/>
    <mergeCell ref="B30:C30"/>
    <mergeCell ref="D30:E30"/>
    <mergeCell ref="H30:I30"/>
    <mergeCell ref="J30:K30"/>
    <mergeCell ref="N30:O30"/>
    <mergeCell ref="P30:Q30"/>
    <mergeCell ref="T30:U30"/>
    <mergeCell ref="V30:W30"/>
    <mergeCell ref="B29:C29"/>
    <mergeCell ref="D29:E29"/>
    <mergeCell ref="H29:I29"/>
    <mergeCell ref="J29:K29"/>
    <mergeCell ref="N29:O29"/>
    <mergeCell ref="P29:Q29"/>
    <mergeCell ref="T27:U27"/>
    <mergeCell ref="V27:W27"/>
    <mergeCell ref="B28:C28"/>
    <mergeCell ref="D28:E28"/>
    <mergeCell ref="H28:I28"/>
    <mergeCell ref="J28:K28"/>
    <mergeCell ref="N28:O28"/>
    <mergeCell ref="P28:Q28"/>
    <mergeCell ref="T28:U28"/>
    <mergeCell ref="V28:W28"/>
    <mergeCell ref="B27:C27"/>
    <mergeCell ref="D27:E27"/>
    <mergeCell ref="H27:I27"/>
    <mergeCell ref="J27:K27"/>
    <mergeCell ref="N27:O27"/>
    <mergeCell ref="P27:Q27"/>
    <mergeCell ref="A25:W25"/>
    <mergeCell ref="B26:C26"/>
    <mergeCell ref="D26:E26"/>
    <mergeCell ref="H26:I26"/>
    <mergeCell ref="J26:K26"/>
    <mergeCell ref="N26:O26"/>
    <mergeCell ref="P26:Q26"/>
    <mergeCell ref="T26:U26"/>
    <mergeCell ref="V26:W26"/>
    <mergeCell ref="T17:U17"/>
    <mergeCell ref="V17:W17"/>
    <mergeCell ref="B21:C21"/>
    <mergeCell ref="D21:E21"/>
    <mergeCell ref="H21:I21"/>
    <mergeCell ref="J21:K21"/>
    <mergeCell ref="N21:O21"/>
    <mergeCell ref="P21:Q21"/>
    <mergeCell ref="T21:U21"/>
    <mergeCell ref="V21:W21"/>
    <mergeCell ref="B17:C17"/>
    <mergeCell ref="D17:E17"/>
    <mergeCell ref="H17:I17"/>
    <mergeCell ref="J17:K17"/>
    <mergeCell ref="N17:O17"/>
    <mergeCell ref="P17:Q17"/>
    <mergeCell ref="T11:U11"/>
    <mergeCell ref="V11:W11"/>
    <mergeCell ref="B13:C13"/>
    <mergeCell ref="D13:E13"/>
    <mergeCell ref="H13:I13"/>
    <mergeCell ref="J13:K13"/>
    <mergeCell ref="N13:O13"/>
    <mergeCell ref="P13:Q13"/>
    <mergeCell ref="T13:U13"/>
    <mergeCell ref="V13:W13"/>
    <mergeCell ref="B11:C11"/>
    <mergeCell ref="D11:E11"/>
    <mergeCell ref="H11:I11"/>
    <mergeCell ref="J11:K11"/>
    <mergeCell ref="N11:O11"/>
    <mergeCell ref="P11:Q11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B7:C7"/>
    <mergeCell ref="D7:E7"/>
    <mergeCell ref="H7:I7"/>
    <mergeCell ref="J7:K7"/>
    <mergeCell ref="N7:O7"/>
    <mergeCell ref="P7:Q7"/>
    <mergeCell ref="T7:U7"/>
    <mergeCell ref="V7:W7"/>
    <mergeCell ref="B8:C8"/>
    <mergeCell ref="D8:E8"/>
    <mergeCell ref="H8:I8"/>
    <mergeCell ref="J8:K8"/>
    <mergeCell ref="N8:O8"/>
    <mergeCell ref="P8:Q8"/>
    <mergeCell ref="T8:U8"/>
    <mergeCell ref="V8:W8"/>
    <mergeCell ref="A1:T1"/>
    <mergeCell ref="U1:W5"/>
    <mergeCell ref="A3:I3"/>
    <mergeCell ref="E4:G4"/>
    <mergeCell ref="I4:K4"/>
    <mergeCell ref="L4:M4"/>
    <mergeCell ref="E5:G5"/>
    <mergeCell ref="L5:M5"/>
    <mergeCell ref="A6:H6"/>
    <mergeCell ref="J6:L6"/>
    <mergeCell ref="O6:W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8" orientation="landscape" horizontalDpi="300" verticalDpi="300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71"/>
  <sheetViews>
    <sheetView showGridLines="0" workbookViewId="0">
      <selection sqref="A1:S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241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383"/>
      <c r="U1" s="690"/>
      <c r="V1" s="691"/>
      <c r="W1" s="692"/>
    </row>
    <row r="2" spans="1:23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"/>
      <c r="U2" s="693"/>
      <c r="V2" s="694"/>
      <c r="W2" s="695"/>
    </row>
    <row r="3" spans="1:23" ht="24.95" customHeight="1" thickBot="1" x14ac:dyDescent="0.3">
      <c r="A3" s="736" t="s">
        <v>77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2"/>
      <c r="P3" s="2"/>
      <c r="Q3" s="2"/>
      <c r="R3" s="2"/>
      <c r="S3" s="2"/>
      <c r="T3" s="2"/>
      <c r="U3" s="693"/>
      <c r="V3" s="694"/>
      <c r="W3" s="695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408"/>
      <c r="I4" s="741" t="s">
        <v>53</v>
      </c>
      <c r="J4" s="741"/>
      <c r="K4" s="741"/>
      <c r="L4" s="742">
        <f>(3*H7)+(2*T16)</f>
        <v>5.9027777777777776E-2</v>
      </c>
      <c r="M4" s="742"/>
      <c r="N4" s="264" t="s">
        <v>33</v>
      </c>
      <c r="O4" s="319"/>
      <c r="P4" s="200"/>
      <c r="Q4" s="200"/>
      <c r="R4" s="200"/>
      <c r="S4" s="200"/>
      <c r="T4" s="200"/>
      <c r="U4" s="693"/>
      <c r="V4" s="694"/>
      <c r="W4" s="695"/>
    </row>
    <row r="5" spans="1:23" ht="24.95" customHeight="1" thickBot="1" x14ac:dyDescent="0.3">
      <c r="A5" s="263" t="s">
        <v>32</v>
      </c>
      <c r="B5" s="104"/>
      <c r="C5" s="104"/>
      <c r="D5" s="104"/>
      <c r="E5" s="743">
        <f>S25-A15+T16+"00:02"</f>
        <v>0.32430555555555513</v>
      </c>
      <c r="F5" s="743"/>
      <c r="G5" s="743"/>
      <c r="H5" s="104"/>
      <c r="I5" s="312" t="s">
        <v>79</v>
      </c>
      <c r="J5" s="312"/>
      <c r="K5" s="312"/>
      <c r="L5" s="687">
        <v>2.0833333333333332E-2</v>
      </c>
      <c r="M5" s="688"/>
      <c r="N5" s="104"/>
      <c r="O5" s="2"/>
      <c r="P5" s="2"/>
      <c r="Q5" s="2"/>
      <c r="R5" s="2"/>
      <c r="S5" s="2"/>
      <c r="T5" s="332"/>
      <c r="U5" s="696"/>
      <c r="V5" s="697"/>
      <c r="W5" s="698"/>
    </row>
    <row r="6" spans="1:23" ht="52.35" customHeight="1" thickBot="1" x14ac:dyDescent="0.3">
      <c r="A6" s="263"/>
      <c r="B6" s="104"/>
      <c r="C6" s="104"/>
      <c r="D6" s="104"/>
      <c r="E6" s="409"/>
      <c r="F6" s="409"/>
      <c r="G6" s="409"/>
      <c r="H6" s="104"/>
      <c r="I6" s="312" t="s">
        <v>242</v>
      </c>
      <c r="J6" s="312"/>
      <c r="K6" s="312"/>
      <c r="L6" s="687">
        <v>3.472222222222222E-3</v>
      </c>
      <c r="M6" s="688"/>
      <c r="N6" s="104"/>
      <c r="O6" s="2"/>
      <c r="P6" s="2"/>
      <c r="Q6" s="2"/>
      <c r="R6" s="2"/>
      <c r="S6" s="2"/>
      <c r="T6" s="332"/>
      <c r="U6" s="2"/>
      <c r="V6" s="2"/>
      <c r="W6" s="21"/>
    </row>
    <row r="7" spans="1:23" ht="16.5" thickBot="1" x14ac:dyDescent="0.3">
      <c r="A7" s="701" t="s">
        <v>35</v>
      </c>
      <c r="B7" s="685"/>
      <c r="C7" s="685"/>
      <c r="D7" s="686" t="s">
        <v>18</v>
      </c>
      <c r="E7" s="686"/>
      <c r="F7" s="686"/>
      <c r="G7" s="686"/>
      <c r="H7" s="414">
        <v>1.0416666666666666E-2</v>
      </c>
      <c r="I7" s="425" t="s">
        <v>17</v>
      </c>
      <c r="J7" s="20"/>
      <c r="K7" s="191"/>
      <c r="L7" s="351"/>
      <c r="M7" s="2"/>
      <c r="N7" s="2"/>
      <c r="O7" s="2"/>
      <c r="P7" s="2"/>
      <c r="Q7" s="2"/>
      <c r="R7" s="2"/>
      <c r="S7" s="2"/>
      <c r="T7" s="2"/>
      <c r="U7" s="2"/>
      <c r="V7" s="2"/>
      <c r="W7" s="21"/>
    </row>
    <row r="8" spans="1:23" ht="15" customHeight="1" x14ac:dyDescent="0.25">
      <c r="A8" s="6"/>
      <c r="B8" s="744" t="s">
        <v>41</v>
      </c>
      <c r="C8" s="745"/>
      <c r="D8" s="744" t="s">
        <v>15</v>
      </c>
      <c r="E8" s="746"/>
      <c r="F8" s="102"/>
      <c r="G8" s="7"/>
      <c r="H8" s="747" t="s">
        <v>42</v>
      </c>
      <c r="I8" s="748"/>
      <c r="J8" s="747" t="s">
        <v>15</v>
      </c>
      <c r="K8" s="749"/>
      <c r="L8" s="242"/>
      <c r="M8" s="2"/>
      <c r="N8" s="2"/>
      <c r="O8" s="2"/>
      <c r="P8" s="2"/>
      <c r="Q8" s="2"/>
      <c r="R8" s="2"/>
      <c r="S8" s="2"/>
      <c r="T8" s="2"/>
      <c r="U8" s="2"/>
      <c r="V8" s="2"/>
      <c r="W8" s="21"/>
    </row>
    <row r="9" spans="1:23" ht="15" customHeight="1" x14ac:dyDescent="0.25">
      <c r="A9" s="10">
        <v>1</v>
      </c>
      <c r="B9" s="731" t="s">
        <v>22</v>
      </c>
      <c r="C9" s="732"/>
      <c r="D9" s="725">
        <f>A42+A46+A50+C37/1000000</f>
        <v>0</v>
      </c>
      <c r="E9" s="726"/>
      <c r="F9" s="103"/>
      <c r="G9" s="11">
        <v>1</v>
      </c>
      <c r="H9" s="727" t="s">
        <v>26</v>
      </c>
      <c r="I9" s="728"/>
      <c r="J9" s="729">
        <f>G42+G46+G50+I37/1000000</f>
        <v>0</v>
      </c>
      <c r="K9" s="730"/>
      <c r="L9" s="242"/>
      <c r="M9" s="2"/>
      <c r="N9" s="2"/>
      <c r="O9" s="2"/>
      <c r="P9" s="2"/>
      <c r="Q9" s="2"/>
      <c r="R9" s="2"/>
      <c r="S9" s="2"/>
      <c r="T9" s="2"/>
      <c r="U9" s="2"/>
      <c r="V9" s="2"/>
      <c r="W9" s="21"/>
    </row>
    <row r="10" spans="1:23" ht="15" customHeight="1" x14ac:dyDescent="0.25">
      <c r="A10" s="10">
        <v>2</v>
      </c>
      <c r="B10" s="731" t="s">
        <v>23</v>
      </c>
      <c r="C10" s="732"/>
      <c r="D10" s="725">
        <f>B42+A47+A51+C38/1000000</f>
        <v>0</v>
      </c>
      <c r="E10" s="726"/>
      <c r="F10" s="103"/>
      <c r="G10" s="11">
        <v>2</v>
      </c>
      <c r="H10" s="727" t="s">
        <v>27</v>
      </c>
      <c r="I10" s="728"/>
      <c r="J10" s="729">
        <f>H42+G47+G51+I38/1000000</f>
        <v>0</v>
      </c>
      <c r="K10" s="730"/>
      <c r="L10" s="242"/>
      <c r="M10" s="2"/>
      <c r="N10" s="2"/>
      <c r="O10" s="2"/>
      <c r="P10" s="2"/>
      <c r="Q10" s="2"/>
      <c r="R10" s="2"/>
      <c r="S10" s="2"/>
      <c r="T10" s="2"/>
      <c r="U10" s="2"/>
      <c r="V10" s="2"/>
      <c r="W10" s="21"/>
    </row>
    <row r="11" spans="1:23" ht="15" customHeight="1" x14ac:dyDescent="0.25">
      <c r="A11" s="10">
        <v>3</v>
      </c>
      <c r="B11" s="731" t="s">
        <v>24</v>
      </c>
      <c r="C11" s="732"/>
      <c r="D11" s="725">
        <f>A43+B46+B51+C39/1000000</f>
        <v>0</v>
      </c>
      <c r="E11" s="726"/>
      <c r="F11" s="103"/>
      <c r="G11" s="11">
        <v>3</v>
      </c>
      <c r="H11" s="727" t="s">
        <v>28</v>
      </c>
      <c r="I11" s="728"/>
      <c r="J11" s="729">
        <f>G43+H46+H51+I39/1000000</f>
        <v>0</v>
      </c>
      <c r="K11" s="730"/>
      <c r="L11" s="242"/>
      <c r="M11" s="2"/>
      <c r="N11" s="2"/>
      <c r="O11" s="2"/>
      <c r="P11" s="2"/>
      <c r="Q11" s="2"/>
      <c r="R11" s="2"/>
      <c r="S11" s="2"/>
      <c r="T11" s="2"/>
      <c r="U11" s="2"/>
      <c r="V11" s="2"/>
      <c r="W11" s="21"/>
    </row>
    <row r="12" spans="1:23" ht="15" customHeight="1" thickBot="1" x14ac:dyDescent="0.3">
      <c r="A12" s="15">
        <v>4</v>
      </c>
      <c r="B12" s="717" t="s">
        <v>25</v>
      </c>
      <c r="C12" s="718"/>
      <c r="D12" s="719">
        <f>B43+B47+B50+C40/1000000</f>
        <v>0</v>
      </c>
      <c r="E12" s="720"/>
      <c r="F12" s="103"/>
      <c r="G12" s="16">
        <v>4</v>
      </c>
      <c r="H12" s="721" t="s">
        <v>29</v>
      </c>
      <c r="I12" s="722"/>
      <c r="J12" s="723">
        <f>H43+H47+H50+I40/1000000</f>
        <v>0</v>
      </c>
      <c r="K12" s="724"/>
      <c r="L12" s="242"/>
      <c r="M12" s="2"/>
      <c r="N12" s="2"/>
      <c r="O12" s="2"/>
      <c r="P12" s="2"/>
      <c r="Q12" s="2"/>
      <c r="R12" s="2"/>
      <c r="S12" s="2"/>
      <c r="T12" s="2"/>
      <c r="U12" s="2"/>
      <c r="V12" s="2"/>
      <c r="W12" s="21"/>
    </row>
    <row r="13" spans="1:23" ht="15" customHeight="1" thickBot="1" x14ac:dyDescent="0.3">
      <c r="A13" s="19"/>
      <c r="B13" s="2"/>
      <c r="C13" s="2"/>
      <c r="D13" s="2"/>
      <c r="E13" s="2"/>
      <c r="F13" s="2"/>
      <c r="G13" s="2"/>
      <c r="H13" s="2"/>
      <c r="I13" s="22"/>
      <c r="J13" s="2"/>
      <c r="K13" s="21"/>
      <c r="L13" s="242"/>
      <c r="M13" s="2"/>
      <c r="N13" s="2"/>
      <c r="O13" s="2"/>
      <c r="P13" s="2"/>
      <c r="Q13" s="2"/>
      <c r="R13" s="2"/>
      <c r="S13" s="2"/>
      <c r="T13" s="2"/>
      <c r="U13" s="2"/>
      <c r="V13" s="2"/>
      <c r="W13" s="21"/>
    </row>
    <row r="14" spans="1:23" s="29" customFormat="1" ht="15" customHeight="1" x14ac:dyDescent="0.25">
      <c r="A14" s="24"/>
      <c r="B14" s="713" t="s">
        <v>5</v>
      </c>
      <c r="C14" s="713"/>
      <c r="D14" s="713" t="s">
        <v>16</v>
      </c>
      <c r="E14" s="714"/>
      <c r="F14" s="25"/>
      <c r="G14" s="26"/>
      <c r="H14" s="715" t="s">
        <v>5</v>
      </c>
      <c r="I14" s="715"/>
      <c r="J14" s="715" t="s">
        <v>16</v>
      </c>
      <c r="K14" s="716"/>
      <c r="L14" s="24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333"/>
    </row>
    <row r="15" spans="1:23" ht="15" customHeight="1" thickBot="1" x14ac:dyDescent="0.3">
      <c r="A15" s="30">
        <f>E4</f>
        <v>0.375</v>
      </c>
      <c r="B15" s="31" t="str">
        <f>B9</f>
        <v>Equipe 1</v>
      </c>
      <c r="C15" s="31" t="str">
        <f>B10</f>
        <v>Equipe 2</v>
      </c>
      <c r="D15" s="53"/>
      <c r="E15" s="54"/>
      <c r="F15" s="2"/>
      <c r="G15" s="32">
        <f>A16+$H$7+L6</f>
        <v>0.40277777777777779</v>
      </c>
      <c r="H15" s="33" t="str">
        <f>H9</f>
        <v>Equipe 5</v>
      </c>
      <c r="I15" s="33" t="str">
        <f>H10</f>
        <v>Equipe 6</v>
      </c>
      <c r="J15" s="57"/>
      <c r="K15" s="58"/>
      <c r="L15" s="242"/>
      <c r="M15" s="2"/>
      <c r="N15" s="2"/>
      <c r="O15" s="2"/>
      <c r="P15" s="2"/>
      <c r="Q15" s="2"/>
      <c r="R15" s="2"/>
      <c r="S15" s="2"/>
      <c r="T15" s="2"/>
      <c r="U15" s="2"/>
      <c r="V15" s="2"/>
      <c r="W15" s="21"/>
    </row>
    <row r="16" spans="1:23" ht="15" customHeight="1" thickBot="1" x14ac:dyDescent="0.3">
      <c r="A16" s="38">
        <f>A15+$H$7+L6</f>
        <v>0.3888888888888889</v>
      </c>
      <c r="B16" s="39" t="str">
        <f>B11</f>
        <v>Equipe 3</v>
      </c>
      <c r="C16" s="39" t="str">
        <f>B12</f>
        <v>Equipe 4</v>
      </c>
      <c r="D16" s="55"/>
      <c r="E16" s="56"/>
      <c r="F16" s="2"/>
      <c r="G16" s="40">
        <f>G15+$H$7+L6</f>
        <v>0.41666666666666669</v>
      </c>
      <c r="H16" s="41" t="str">
        <f>H11</f>
        <v>Equipe 7</v>
      </c>
      <c r="I16" s="41" t="str">
        <f>H12</f>
        <v>Equipe 8</v>
      </c>
      <c r="J16" s="59"/>
      <c r="K16" s="60"/>
      <c r="L16" s="242"/>
      <c r="M16" s="685" t="s">
        <v>78</v>
      </c>
      <c r="N16" s="685"/>
      <c r="O16" s="685"/>
      <c r="P16" s="686" t="s">
        <v>18</v>
      </c>
      <c r="Q16" s="686"/>
      <c r="R16" s="686"/>
      <c r="S16" s="686"/>
      <c r="T16" s="414">
        <v>1.3888888888888888E-2</v>
      </c>
      <c r="U16" s="425" t="s">
        <v>17</v>
      </c>
      <c r="V16" s="20"/>
      <c r="W16" s="191"/>
    </row>
    <row r="17" spans="1:24" ht="15" customHeight="1" thickBot="1" x14ac:dyDescent="0.3">
      <c r="A17" s="19"/>
      <c r="B17" s="2"/>
      <c r="C17" s="2"/>
      <c r="D17" s="411"/>
      <c r="E17" s="411"/>
      <c r="F17" s="2"/>
      <c r="G17" s="2"/>
      <c r="H17" s="2"/>
      <c r="I17" s="47"/>
      <c r="J17" s="411"/>
      <c r="K17" s="412"/>
      <c r="L17" s="242"/>
      <c r="M17" s="345"/>
      <c r="N17" s="689" t="s">
        <v>70</v>
      </c>
      <c r="O17" s="689"/>
      <c r="P17" s="689" t="s">
        <v>16</v>
      </c>
      <c r="Q17" s="699"/>
      <c r="R17" s="25"/>
      <c r="S17" s="159"/>
      <c r="T17" s="689" t="s">
        <v>66</v>
      </c>
      <c r="U17" s="689"/>
      <c r="V17" s="689" t="s">
        <v>16</v>
      </c>
      <c r="W17" s="699"/>
    </row>
    <row r="18" spans="1:24" s="29" customFormat="1" ht="15" customHeight="1" x14ac:dyDescent="0.25">
      <c r="A18" s="24"/>
      <c r="B18" s="713" t="s">
        <v>6</v>
      </c>
      <c r="C18" s="713"/>
      <c r="D18" s="713" t="s">
        <v>16</v>
      </c>
      <c r="E18" s="714"/>
      <c r="F18" s="25"/>
      <c r="G18" s="26"/>
      <c r="H18" s="715" t="s">
        <v>6</v>
      </c>
      <c r="I18" s="715"/>
      <c r="J18" s="715" t="s">
        <v>16</v>
      </c>
      <c r="K18" s="716"/>
      <c r="L18" s="243"/>
      <c r="M18" s="346">
        <f>G24+H7+L5+L6</f>
        <v>0.5625</v>
      </c>
      <c r="N18" s="152" t="str">
        <f>IF($D$15="","3eme A",B30)</f>
        <v>3eme A</v>
      </c>
      <c r="O18" s="152" t="str">
        <f>IF($D$15="","4eme B",H31)</f>
        <v>4eme B</v>
      </c>
      <c r="P18" s="153"/>
      <c r="Q18" s="154"/>
      <c r="R18" s="2"/>
      <c r="S18" s="151">
        <f>M19+$T$16+L6</f>
        <v>0.5972222222222221</v>
      </c>
      <c r="T18" s="152" t="str">
        <f>IF($D$15="","1er A",B28)</f>
        <v>1er A</v>
      </c>
      <c r="U18" s="152" t="str">
        <f>IF($D$15="","2eme B",H29)</f>
        <v>2eme B</v>
      </c>
      <c r="V18" s="153"/>
      <c r="W18" s="154"/>
      <c r="X18" s="181"/>
    </row>
    <row r="19" spans="1:24" ht="15" customHeight="1" thickBot="1" x14ac:dyDescent="0.3">
      <c r="A19" s="30">
        <f>G16+$H$7+L6</f>
        <v>0.43055555555555558</v>
      </c>
      <c r="B19" s="31" t="str">
        <f>B9</f>
        <v>Equipe 1</v>
      </c>
      <c r="C19" s="31" t="str">
        <f>B11</f>
        <v>Equipe 3</v>
      </c>
      <c r="D19" s="53"/>
      <c r="E19" s="54"/>
      <c r="F19" s="2"/>
      <c r="G19" s="32">
        <f>A20+$H$7+L6</f>
        <v>0.45833333333333337</v>
      </c>
      <c r="H19" s="33" t="str">
        <f>H9</f>
        <v>Equipe 5</v>
      </c>
      <c r="I19" s="33" t="str">
        <f>H11</f>
        <v>Equipe 7</v>
      </c>
      <c r="J19" s="57"/>
      <c r="K19" s="58"/>
      <c r="L19" s="242"/>
      <c r="M19" s="347">
        <f>M18+$T$16+L6</f>
        <v>0.57986111111111105</v>
      </c>
      <c r="N19" s="156" t="str">
        <f>IF($D$15="","3eme B",H30)</f>
        <v>3eme B</v>
      </c>
      <c r="O19" s="156" t="str">
        <f>IF($D$15="","4eme A",B31)</f>
        <v>4eme A</v>
      </c>
      <c r="P19" s="157"/>
      <c r="Q19" s="158"/>
      <c r="R19" s="2"/>
      <c r="S19" s="155">
        <f>S18+$T$16+L6</f>
        <v>0.61458333333333315</v>
      </c>
      <c r="T19" s="156" t="str">
        <f>IF($D$15="","1er B",H28)</f>
        <v>1er B</v>
      </c>
      <c r="U19" s="156" t="str">
        <f>IF($D$15="","2eme A",B29)</f>
        <v>2eme A</v>
      </c>
      <c r="V19" s="157"/>
      <c r="W19" s="158"/>
      <c r="X19" s="95"/>
    </row>
    <row r="20" spans="1:24" ht="15" customHeight="1" thickBot="1" x14ac:dyDescent="0.3">
      <c r="A20" s="38">
        <f>A19+$H$7+L6</f>
        <v>0.44444444444444448</v>
      </c>
      <c r="B20" s="39" t="str">
        <f>B10</f>
        <v>Equipe 2</v>
      </c>
      <c r="C20" s="39" t="str">
        <f>B12</f>
        <v>Equipe 4</v>
      </c>
      <c r="D20" s="55"/>
      <c r="E20" s="56"/>
      <c r="F20" s="2"/>
      <c r="G20" s="40">
        <f>G19+$H$7+L6</f>
        <v>0.47222222222222227</v>
      </c>
      <c r="H20" s="41" t="str">
        <f>H10</f>
        <v>Equipe 6</v>
      </c>
      <c r="I20" s="41" t="str">
        <f>H12</f>
        <v>Equipe 8</v>
      </c>
      <c r="J20" s="59"/>
      <c r="K20" s="60"/>
      <c r="L20" s="242"/>
      <c r="M20" s="2"/>
      <c r="N20" s="2"/>
      <c r="O20" s="2"/>
      <c r="P20" s="411"/>
      <c r="Q20" s="411"/>
      <c r="R20" s="2"/>
      <c r="S20" s="2"/>
      <c r="T20" s="2"/>
      <c r="U20" s="2"/>
      <c r="V20" s="411"/>
      <c r="W20" s="412"/>
      <c r="X20" s="95"/>
    </row>
    <row r="21" spans="1:24" ht="15" customHeight="1" thickBot="1" x14ac:dyDescent="0.3">
      <c r="A21" s="19"/>
      <c r="B21" s="2"/>
      <c r="C21" s="2"/>
      <c r="D21" s="411"/>
      <c r="E21" s="411"/>
      <c r="F21" s="2"/>
      <c r="G21" s="2"/>
      <c r="H21" s="2"/>
      <c r="I21" s="47"/>
      <c r="J21" s="411"/>
      <c r="K21" s="412"/>
      <c r="L21" s="242"/>
      <c r="M21" s="345"/>
      <c r="N21" s="689" t="s">
        <v>71</v>
      </c>
      <c r="O21" s="689"/>
      <c r="P21" s="689" t="s">
        <v>16</v>
      </c>
      <c r="Q21" s="699"/>
      <c r="R21" s="25"/>
      <c r="S21" s="159"/>
      <c r="T21" s="689" t="s">
        <v>73</v>
      </c>
      <c r="U21" s="689"/>
      <c r="V21" s="689" t="s">
        <v>16</v>
      </c>
      <c r="W21" s="699"/>
      <c r="X21" s="95"/>
    </row>
    <row r="22" spans="1:24" s="29" customFormat="1" ht="15" customHeight="1" x14ac:dyDescent="0.25">
      <c r="A22" s="24"/>
      <c r="B22" s="713" t="s">
        <v>7</v>
      </c>
      <c r="C22" s="713"/>
      <c r="D22" s="713" t="s">
        <v>16</v>
      </c>
      <c r="E22" s="714"/>
      <c r="F22" s="25"/>
      <c r="G22" s="26"/>
      <c r="H22" s="715" t="s">
        <v>7</v>
      </c>
      <c r="I22" s="715"/>
      <c r="J22" s="715" t="s">
        <v>16</v>
      </c>
      <c r="K22" s="716"/>
      <c r="L22" s="243"/>
      <c r="M22" s="346">
        <f>S19+T16+L6</f>
        <v>0.6319444444444442</v>
      </c>
      <c r="N22" s="152" t="str">
        <f>IF(P18&lt;Q18,N18,IF(P18=Q18," ",O18))</f>
        <v xml:space="preserve"> </v>
      </c>
      <c r="O22" s="152" t="str">
        <f>IF(P19&lt;Q19,N19,IF(P19=Q19," ",O19))</f>
        <v xml:space="preserve"> </v>
      </c>
      <c r="P22" s="153"/>
      <c r="Q22" s="154"/>
      <c r="R22" s="2"/>
      <c r="S22" s="151">
        <f>M22+$T$16+L6</f>
        <v>0.64930555555555525</v>
      </c>
      <c r="T22" s="152" t="str">
        <f>IF(P18&gt;Q18,N18,IF(P18=Q18," ",O18))</f>
        <v xml:space="preserve"> </v>
      </c>
      <c r="U22" s="152" t="str">
        <f>IF(P19&gt;Q19,N19,IF(P19=Q19," ",O19))</f>
        <v xml:space="preserve"> </v>
      </c>
      <c r="V22" s="153"/>
      <c r="W22" s="154"/>
      <c r="X22" s="95"/>
    </row>
    <row r="23" spans="1:24" ht="15" customHeight="1" thickBot="1" x14ac:dyDescent="0.3">
      <c r="A23" s="30">
        <f>G20+$H$7+L6</f>
        <v>0.48611111111111116</v>
      </c>
      <c r="B23" s="31" t="str">
        <f>B9</f>
        <v>Equipe 1</v>
      </c>
      <c r="C23" s="31" t="str">
        <f>B12</f>
        <v>Equipe 4</v>
      </c>
      <c r="D23" s="53"/>
      <c r="E23" s="54"/>
      <c r="F23" s="2"/>
      <c r="G23" s="32">
        <f>A24+$H$7+L6</f>
        <v>0.51388888888888895</v>
      </c>
      <c r="H23" s="33" t="str">
        <f>H9</f>
        <v>Equipe 5</v>
      </c>
      <c r="I23" s="33" t="str">
        <f>H12</f>
        <v>Equipe 8</v>
      </c>
      <c r="J23" s="57"/>
      <c r="K23" s="58"/>
      <c r="L23" s="242"/>
      <c r="M23" s="2"/>
      <c r="N23" s="2"/>
      <c r="O23" s="2"/>
      <c r="P23" s="411"/>
      <c r="Q23" s="411"/>
      <c r="R23" s="2"/>
      <c r="S23" s="2"/>
      <c r="T23" s="2"/>
      <c r="U23" s="2"/>
      <c r="V23" s="411"/>
      <c r="W23" s="412"/>
      <c r="X23" s="192"/>
    </row>
    <row r="24" spans="1:24" ht="15" customHeight="1" thickBot="1" x14ac:dyDescent="0.3">
      <c r="A24" s="38">
        <f>A23+$H$7+L6</f>
        <v>0.50000000000000011</v>
      </c>
      <c r="B24" s="39" t="str">
        <f>B10</f>
        <v>Equipe 2</v>
      </c>
      <c r="C24" s="39" t="str">
        <f>B11</f>
        <v>Equipe 3</v>
      </c>
      <c r="D24" s="55"/>
      <c r="E24" s="56"/>
      <c r="F24" s="47"/>
      <c r="G24" s="40">
        <f>G23+$H$7+L6</f>
        <v>0.52777777777777779</v>
      </c>
      <c r="H24" s="41" t="str">
        <f>H10</f>
        <v>Equipe 6</v>
      </c>
      <c r="I24" s="41" t="str">
        <f>H11</f>
        <v>Equipe 7</v>
      </c>
      <c r="J24" s="59"/>
      <c r="K24" s="60"/>
      <c r="L24" s="242"/>
      <c r="M24" s="345"/>
      <c r="N24" s="677" t="s">
        <v>67</v>
      </c>
      <c r="O24" s="679"/>
      <c r="P24" s="677" t="s">
        <v>16</v>
      </c>
      <c r="Q24" s="678"/>
      <c r="R24" s="25"/>
      <c r="S24" s="159"/>
      <c r="T24" s="677" t="s">
        <v>72</v>
      </c>
      <c r="U24" s="679"/>
      <c r="V24" s="677" t="s">
        <v>16</v>
      </c>
      <c r="W24" s="678"/>
    </row>
    <row r="25" spans="1:24" ht="15" customHeight="1" thickBot="1" x14ac:dyDescent="0.3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87"/>
      <c r="L25" s="242"/>
      <c r="M25" s="347">
        <f>S22+$T$16+L6</f>
        <v>0.6666666666666663</v>
      </c>
      <c r="N25" s="156" t="str">
        <f>IF(V18&lt;W18,T18,IF(V18=W18," ",U18))</f>
        <v xml:space="preserve"> </v>
      </c>
      <c r="O25" s="156" t="str">
        <f>IF(V19&lt;W19,T19,IF(V19=W19," ",U19))</f>
        <v xml:space="preserve"> </v>
      </c>
      <c r="P25" s="157"/>
      <c r="Q25" s="158"/>
      <c r="R25" s="47"/>
      <c r="S25" s="155">
        <f>M25+$T$16+L6</f>
        <v>0.68402777777777735</v>
      </c>
      <c r="T25" s="156" t="str">
        <f>IF(V18&gt;W18,T18,IF(V18=W18," ",U18))</f>
        <v xml:space="preserve"> </v>
      </c>
      <c r="U25" s="156" t="str">
        <f>IF(V19&gt;W19,T19,IF(V19=W19," ",U19))</f>
        <v xml:space="preserve"> </v>
      </c>
      <c r="V25" s="157"/>
      <c r="W25" s="158"/>
    </row>
    <row r="26" spans="1:24" ht="15" customHeight="1" thickBot="1" x14ac:dyDescent="0.3">
      <c r="A26" s="702" t="s">
        <v>60</v>
      </c>
      <c r="B26" s="673"/>
      <c r="C26" s="673"/>
      <c r="D26" s="673"/>
      <c r="E26" s="673"/>
      <c r="F26" s="673"/>
      <c r="G26" s="673"/>
      <c r="H26" s="673"/>
      <c r="I26" s="673"/>
      <c r="J26" s="673"/>
      <c r="K26" s="674"/>
      <c r="L26" s="352"/>
      <c r="M26" s="2"/>
      <c r="N26" s="2"/>
      <c r="O26" s="2"/>
      <c r="P26" s="2"/>
      <c r="Q26" s="2"/>
      <c r="R26" s="2"/>
      <c r="S26" s="2"/>
      <c r="T26" s="2"/>
      <c r="U26" s="2"/>
      <c r="V26" s="2"/>
      <c r="W26" s="21"/>
    </row>
    <row r="27" spans="1:24" ht="15" customHeight="1" thickBot="1" x14ac:dyDescent="0.3">
      <c r="A27" s="81" t="s">
        <v>21</v>
      </c>
      <c r="B27" s="711" t="s">
        <v>41</v>
      </c>
      <c r="C27" s="711"/>
      <c r="D27" s="711" t="s">
        <v>15</v>
      </c>
      <c r="E27" s="712"/>
      <c r="F27" s="122"/>
      <c r="G27" s="81" t="s">
        <v>21</v>
      </c>
      <c r="H27" s="711" t="s">
        <v>42</v>
      </c>
      <c r="I27" s="711"/>
      <c r="J27" s="711" t="s">
        <v>15</v>
      </c>
      <c r="K27" s="712"/>
      <c r="L27" s="242"/>
      <c r="M27" s="673" t="s">
        <v>47</v>
      </c>
      <c r="N27" s="673"/>
      <c r="O27" s="673"/>
      <c r="P27" s="673"/>
      <c r="Q27" s="673"/>
      <c r="R27" s="673"/>
      <c r="S27" s="673"/>
      <c r="T27" s="673"/>
      <c r="U27" s="673"/>
      <c r="V27" s="673"/>
      <c r="W27" s="674"/>
    </row>
    <row r="28" spans="1:24" ht="15" customHeight="1" x14ac:dyDescent="0.25">
      <c r="A28" s="49">
        <v>1</v>
      </c>
      <c r="B28" s="680" t="str">
        <f>VLOOKUP($A28,$A$37:$D$40,2,FALSE)</f>
        <v>Equipe 1</v>
      </c>
      <c r="C28" s="680"/>
      <c r="D28" s="683">
        <f>VLOOKUP($A28,$A$37:$D$40,4,FALSE)</f>
        <v>3.9999999999999998E-7</v>
      </c>
      <c r="E28" s="684"/>
      <c r="F28" s="105"/>
      <c r="G28" s="49">
        <v>1</v>
      </c>
      <c r="H28" s="680" t="str">
        <f>VLOOKUP($G28,$G$37:$J$40,2,FALSE)</f>
        <v>Equipe 5</v>
      </c>
      <c r="I28" s="680"/>
      <c r="J28" s="681">
        <f>VLOOKUP($G28,$G$37:$J$40,4,FALSE)</f>
        <v>3.9999999999999998E-7</v>
      </c>
      <c r="K28" s="682"/>
      <c r="L28" s="242"/>
      <c r="M28" s="348">
        <v>1</v>
      </c>
      <c r="N28" s="421" t="str">
        <f>IF(V25&gt;W25,T25,IF(V25=W25," ",U25))</f>
        <v xml:space="preserve"> </v>
      </c>
      <c r="O28" s="422"/>
      <c r="P28" s="422"/>
      <c r="Q28" s="423"/>
      <c r="R28" s="122"/>
      <c r="S28" s="160">
        <v>5</v>
      </c>
      <c r="T28" s="421" t="str">
        <f>IF(V22&gt;W22,T22,IF(V22=W22," ",U22))</f>
        <v xml:space="preserve"> </v>
      </c>
      <c r="U28" s="422"/>
      <c r="V28" s="422"/>
      <c r="W28" s="423"/>
    </row>
    <row r="29" spans="1:24" ht="15" customHeight="1" x14ac:dyDescent="0.25">
      <c r="A29" s="49">
        <v>2</v>
      </c>
      <c r="B29" s="680" t="str">
        <f>VLOOKUP($A29,$A$37:$D$40,2,FALSE)</f>
        <v>Equipe 2</v>
      </c>
      <c r="C29" s="680"/>
      <c r="D29" s="683">
        <f>VLOOKUP($A29,$A$37:$D$40,4,FALSE)</f>
        <v>2.9999999999999999E-7</v>
      </c>
      <c r="E29" s="684"/>
      <c r="F29" s="105"/>
      <c r="G29" s="49">
        <v>2</v>
      </c>
      <c r="H29" s="680" t="str">
        <f>VLOOKUP($G29,$G$37:$J$40,2,FALSE)</f>
        <v>Equipe 6</v>
      </c>
      <c r="I29" s="680"/>
      <c r="J29" s="681">
        <f>VLOOKUP($G29,$G$37:$J$40,4,FALSE)</f>
        <v>2.9999999999999999E-7</v>
      </c>
      <c r="K29" s="682"/>
      <c r="L29" s="242"/>
      <c r="M29" s="349">
        <v>2</v>
      </c>
      <c r="N29" s="418" t="str">
        <f>IF(V25&lt;W25,T25,IF(V25=W25," ",U25))</f>
        <v xml:space="preserve"> </v>
      </c>
      <c r="O29" s="419"/>
      <c r="P29" s="419"/>
      <c r="Q29" s="420"/>
      <c r="R29" s="105"/>
      <c r="S29" s="49">
        <v>6</v>
      </c>
      <c r="T29" s="418" t="str">
        <f>IF(V22&lt;W22,T22,IF(V22=W22," ",U22))</f>
        <v xml:space="preserve"> </v>
      </c>
      <c r="U29" s="419"/>
      <c r="V29" s="419"/>
      <c r="W29" s="420"/>
    </row>
    <row r="30" spans="1:24" ht="15" customHeight="1" x14ac:dyDescent="0.25">
      <c r="A30" s="49">
        <v>3</v>
      </c>
      <c r="B30" s="680" t="str">
        <f>VLOOKUP($A30,$A$37:$D$40,2,FALSE)</f>
        <v>Equipe 3</v>
      </c>
      <c r="C30" s="680"/>
      <c r="D30" s="683">
        <f>VLOOKUP($A30,$A$37:$D$40,4,FALSE)</f>
        <v>1.9999999999999999E-7</v>
      </c>
      <c r="E30" s="684"/>
      <c r="F30" s="105"/>
      <c r="G30" s="49">
        <v>3</v>
      </c>
      <c r="H30" s="680" t="str">
        <f>VLOOKUP($G30,$G$37:$J$40,2,FALSE)</f>
        <v>Equipe 7</v>
      </c>
      <c r="I30" s="680"/>
      <c r="J30" s="681">
        <f>VLOOKUP($G30,$G$37:$J$40,4,FALSE)</f>
        <v>1.9999999999999999E-7</v>
      </c>
      <c r="K30" s="682"/>
      <c r="L30" s="242"/>
      <c r="M30" s="349">
        <v>3</v>
      </c>
      <c r="N30" s="418" t="str">
        <f>IF(P25&gt;Q25,N25,IF(P25=Q25," ",O25))</f>
        <v xml:space="preserve"> </v>
      </c>
      <c r="O30" s="419"/>
      <c r="P30" s="419"/>
      <c r="Q30" s="420"/>
      <c r="R30" s="105"/>
      <c r="S30" s="49">
        <v>7</v>
      </c>
      <c r="T30" s="418" t="str">
        <f>IF(P22&gt;Q22,N22,IF(P22=Q22," ",O22))</f>
        <v xml:space="preserve"> </v>
      </c>
      <c r="U30" s="419"/>
      <c r="V30" s="419"/>
      <c r="W30" s="420"/>
    </row>
    <row r="31" spans="1:24" ht="15" customHeight="1" thickBot="1" x14ac:dyDescent="0.3">
      <c r="A31" s="50">
        <v>4</v>
      </c>
      <c r="B31" s="706" t="str">
        <f>VLOOKUP($A31,$A$37:$D$40,2,FALSE)</f>
        <v>Equipe 4</v>
      </c>
      <c r="C31" s="706"/>
      <c r="D31" s="707">
        <f>VLOOKUP($A31,$A$37:$D$40,4,FALSE)</f>
        <v>9.9999999999999995E-8</v>
      </c>
      <c r="E31" s="708"/>
      <c r="F31" s="123"/>
      <c r="G31" s="50">
        <v>4</v>
      </c>
      <c r="H31" s="706" t="str">
        <f>VLOOKUP($G31,$G$37:$J$40,2,FALSE)</f>
        <v>Equipe 8</v>
      </c>
      <c r="I31" s="706"/>
      <c r="J31" s="709">
        <f>VLOOKUP($G31,$G$37:$J$40,4,FALSE)</f>
        <v>9.9999999999999995E-8</v>
      </c>
      <c r="K31" s="710"/>
      <c r="L31" s="242"/>
      <c r="M31" s="350">
        <v>4</v>
      </c>
      <c r="N31" s="415" t="str">
        <f>IF(P25&lt;Q25,N25,IF(P25=Q25," ",O25))</f>
        <v xml:space="preserve"> </v>
      </c>
      <c r="O31" s="416"/>
      <c r="P31" s="416"/>
      <c r="Q31" s="417"/>
      <c r="R31" s="193"/>
      <c r="S31" s="50">
        <v>8</v>
      </c>
      <c r="T31" s="415" t="str">
        <f>IF(P22&lt;Q22,N22,IF(P22=Q22," ",O22))</f>
        <v xml:space="preserve"> </v>
      </c>
      <c r="U31" s="416"/>
      <c r="V31" s="416"/>
      <c r="W31" s="417"/>
    </row>
    <row r="32" spans="1:24" ht="15" customHeight="1" thickBot="1" x14ac:dyDescent="0.3">
      <c r="A32" s="703" t="s">
        <v>34</v>
      </c>
      <c r="B32" s="704"/>
      <c r="C32" s="704"/>
      <c r="D32" s="704"/>
      <c r="E32" s="704"/>
      <c r="F32" s="704"/>
      <c r="G32" s="704"/>
      <c r="H32" s="704"/>
      <c r="I32" s="704"/>
      <c r="J32" s="704"/>
      <c r="K32" s="705"/>
      <c r="L32" s="353"/>
      <c r="M32" s="675" t="s">
        <v>34</v>
      </c>
      <c r="N32" s="675"/>
      <c r="O32" s="675"/>
      <c r="P32" s="675"/>
      <c r="Q32" s="675"/>
      <c r="R32" s="675"/>
      <c r="S32" s="675"/>
      <c r="T32" s="675"/>
      <c r="U32" s="675"/>
      <c r="V32" s="675"/>
      <c r="W32" s="676"/>
      <c r="X32" s="2"/>
    </row>
    <row r="33" spans="1:23" s="2" customFormat="1" x14ac:dyDescent="0.25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8"/>
      <c r="M33" s="198"/>
      <c r="N33" s="198"/>
      <c r="O33" s="198"/>
      <c r="P33" s="198"/>
      <c r="Q33" s="198"/>
      <c r="R33" s="198"/>
      <c r="S33" s="198"/>
      <c r="T33" s="198"/>
      <c r="U33" s="733" t="s">
        <v>233</v>
      </c>
      <c r="V33" s="733"/>
      <c r="W33" s="733"/>
    </row>
    <row r="34" spans="1:23" s="2" customFormat="1" hidden="1" x14ac:dyDescent="0.25"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1:23" ht="16.5" hidden="1" thickBot="1" x14ac:dyDescent="0.3">
      <c r="A35" s="670" t="s">
        <v>49</v>
      </c>
      <c r="B35" s="671"/>
      <c r="C35" s="671"/>
      <c r="D35" s="671"/>
      <c r="E35" s="671"/>
      <c r="F35" s="671"/>
      <c r="G35" s="671"/>
      <c r="H35" s="671"/>
      <c r="I35" s="671"/>
      <c r="J35" s="671"/>
      <c r="K35" s="672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</row>
    <row r="36" spans="1:23" ht="14.45" hidden="1" customHeight="1" x14ac:dyDescent="0.25">
      <c r="A36" s="96"/>
      <c r="B36" s="177" t="s">
        <v>1</v>
      </c>
      <c r="C36" s="177"/>
      <c r="D36" s="177" t="s">
        <v>15</v>
      </c>
      <c r="E36" s="194"/>
      <c r="F36" s="195"/>
      <c r="G36" s="121"/>
      <c r="H36" s="177" t="s">
        <v>2</v>
      </c>
      <c r="I36" s="177"/>
      <c r="J36" s="177" t="s">
        <v>15</v>
      </c>
      <c r="K36" s="178"/>
      <c r="L36" s="85"/>
      <c r="M36" s="99"/>
      <c r="N36" s="179"/>
      <c r="O36" s="179"/>
      <c r="P36" s="179"/>
      <c r="Q36" s="179"/>
      <c r="R36" s="85"/>
      <c r="S36" s="99"/>
      <c r="T36" s="179"/>
      <c r="U36" s="179"/>
      <c r="V36" s="179"/>
      <c r="W36" s="179"/>
    </row>
    <row r="37" spans="1:23" ht="14.45" hidden="1" customHeight="1" x14ac:dyDescent="0.25">
      <c r="A37" s="86">
        <f>RANK(D37,$D$37:$D$40)</f>
        <v>1</v>
      </c>
      <c r="B37" s="69" t="str">
        <f>B9</f>
        <v>Equipe 1</v>
      </c>
      <c r="C37" s="69">
        <f>D15-E15+D19-E19+D23-E23</f>
        <v>0</v>
      </c>
      <c r="D37" s="182">
        <f>D9+4/10000000</f>
        <v>3.9999999999999998E-7</v>
      </c>
      <c r="E37" s="175"/>
      <c r="F37" s="196"/>
      <c r="G37" s="91">
        <f>RANK(J37,$J$37:$J$40)</f>
        <v>1</v>
      </c>
      <c r="H37" s="69" t="str">
        <f>H9</f>
        <v>Equipe 5</v>
      </c>
      <c r="I37" s="69">
        <f>J15-K15+J19-K19+J23-K23</f>
        <v>0</v>
      </c>
      <c r="J37" s="182">
        <f>J9+4/10000000</f>
        <v>3.9999999999999998E-7</v>
      </c>
      <c r="K37" s="184"/>
      <c r="L37" s="85"/>
      <c r="M37" s="94"/>
      <c r="N37" s="95"/>
      <c r="O37" s="95"/>
      <c r="P37" s="180"/>
      <c r="Q37" s="180"/>
      <c r="R37" s="85"/>
      <c r="S37" s="94"/>
      <c r="T37" s="95"/>
      <c r="U37" s="95"/>
      <c r="V37" s="180"/>
      <c r="W37" s="180"/>
    </row>
    <row r="38" spans="1:23" ht="14.45" hidden="1" customHeight="1" x14ac:dyDescent="0.25">
      <c r="A38" s="86">
        <f t="shared" ref="A38:A40" si="0">RANK(D38,$D$37:$D$40)</f>
        <v>2</v>
      </c>
      <c r="B38" s="69" t="str">
        <f>B10</f>
        <v>Equipe 2</v>
      </c>
      <c r="C38" s="69">
        <f>E15-D15+D20-E20+D24-E24</f>
        <v>0</v>
      </c>
      <c r="D38" s="182">
        <f>D10+3/10000000</f>
        <v>2.9999999999999999E-7</v>
      </c>
      <c r="E38" s="175"/>
      <c r="F38" s="196"/>
      <c r="G38" s="91">
        <f t="shared" ref="G38:G40" si="1">RANK(J38,$J$37:$J$40)</f>
        <v>2</v>
      </c>
      <c r="H38" s="69" t="str">
        <f>H10</f>
        <v>Equipe 6</v>
      </c>
      <c r="I38" s="69">
        <f>K15-J15+J20-K20+J24-K24</f>
        <v>0</v>
      </c>
      <c r="J38" s="182">
        <f>J10+3/10000000</f>
        <v>2.9999999999999999E-7</v>
      </c>
      <c r="K38" s="184"/>
      <c r="L38" s="85"/>
      <c r="M38" s="94"/>
      <c r="N38" s="95"/>
      <c r="O38" s="95"/>
      <c r="P38" s="180"/>
      <c r="Q38" s="180"/>
      <c r="R38" s="85"/>
      <c r="S38" s="94"/>
      <c r="T38" s="95"/>
      <c r="U38" s="95"/>
      <c r="V38" s="180"/>
      <c r="W38" s="180"/>
    </row>
    <row r="39" spans="1:23" ht="14.45" hidden="1" customHeight="1" x14ac:dyDescent="0.25">
      <c r="A39" s="86">
        <f t="shared" si="0"/>
        <v>3</v>
      </c>
      <c r="B39" s="69" t="str">
        <f>B11</f>
        <v>Equipe 3</v>
      </c>
      <c r="C39" s="69">
        <f>D16-E16+E19-D19+E24-D24</f>
        <v>0</v>
      </c>
      <c r="D39" s="182">
        <f>D11+2/10000000</f>
        <v>1.9999999999999999E-7</v>
      </c>
      <c r="E39" s="175"/>
      <c r="F39" s="196"/>
      <c r="G39" s="91">
        <f t="shared" si="1"/>
        <v>3</v>
      </c>
      <c r="H39" s="69" t="str">
        <f>H11</f>
        <v>Equipe 7</v>
      </c>
      <c r="I39" s="69">
        <f>J16-K16+K19-J19+K24-J24</f>
        <v>0</v>
      </c>
      <c r="J39" s="182">
        <f>J11+2/10000000</f>
        <v>1.9999999999999999E-7</v>
      </c>
      <c r="K39" s="184"/>
      <c r="L39" s="85"/>
      <c r="M39" s="94"/>
      <c r="N39" s="95"/>
      <c r="O39" s="95"/>
      <c r="P39" s="180"/>
      <c r="Q39" s="180"/>
      <c r="R39" s="85"/>
      <c r="S39" s="94"/>
      <c r="T39" s="95"/>
      <c r="U39" s="95"/>
      <c r="V39" s="180"/>
      <c r="W39" s="180"/>
    </row>
    <row r="40" spans="1:23" ht="14.45" hidden="1" customHeight="1" x14ac:dyDescent="0.25">
      <c r="A40" s="87">
        <f t="shared" si="0"/>
        <v>4</v>
      </c>
      <c r="B40" s="88" t="str">
        <f>B12</f>
        <v>Equipe 4</v>
      </c>
      <c r="C40" s="88">
        <f>E16-D16+E20-D20+E23-D23</f>
        <v>0</v>
      </c>
      <c r="D40" s="185">
        <f>D12+1/10000000</f>
        <v>9.9999999999999995E-8</v>
      </c>
      <c r="E40" s="176"/>
      <c r="F40" s="197"/>
      <c r="G40" s="92">
        <f t="shared" si="1"/>
        <v>4</v>
      </c>
      <c r="H40" s="88" t="str">
        <f>H12</f>
        <v>Equipe 8</v>
      </c>
      <c r="I40" s="88">
        <f>K16-J16+K20-J20+K23-J23</f>
        <v>0</v>
      </c>
      <c r="J40" s="185">
        <f>J12+1/10000000</f>
        <v>9.9999999999999995E-8</v>
      </c>
      <c r="K40" s="186"/>
      <c r="L40" s="85"/>
      <c r="M40" s="94"/>
      <c r="N40" s="95"/>
      <c r="O40" s="95"/>
      <c r="P40" s="180"/>
      <c r="Q40" s="180"/>
      <c r="R40" s="85"/>
      <c r="S40" s="94"/>
      <c r="T40" s="95"/>
      <c r="U40" s="95"/>
      <c r="V40" s="180"/>
      <c r="W40" s="180"/>
    </row>
    <row r="41" spans="1:23" hidden="1" x14ac:dyDescent="0.25">
      <c r="A41" s="700"/>
      <c r="B41" s="700"/>
      <c r="C41" s="700"/>
      <c r="D41" s="700"/>
      <c r="E41" s="700"/>
      <c r="F41" s="700"/>
      <c r="G41" s="700"/>
      <c r="H41" s="700"/>
      <c r="I41" s="700"/>
      <c r="J41" s="700"/>
      <c r="K41" s="700"/>
      <c r="L41" s="700"/>
      <c r="M41" s="700"/>
      <c r="N41" s="700"/>
      <c r="O41" s="700"/>
      <c r="P41" s="700"/>
      <c r="Q41" s="700"/>
    </row>
    <row r="42" spans="1:23" hidden="1" x14ac:dyDescent="0.25">
      <c r="A42" s="1">
        <f>IF(D15="",0,(IF(D15&gt;E15,3,IF(D15=E15,1,0))))</f>
        <v>0</v>
      </c>
      <c r="B42" s="1">
        <f>IF(E15="",0,(IF(E15&gt;D15,3,IF(E15=D15,1,0))))</f>
        <v>0</v>
      </c>
      <c r="G42" s="1">
        <f>IF(J15="",0,(IF(J15&gt;K15,3,IF(J15=K15,1,0))))</f>
        <v>0</v>
      </c>
      <c r="H42" s="1">
        <f>IF(K15="",0,(IF(K15&gt;J15,3,IF(K15=J15,1,0))))</f>
        <v>0</v>
      </c>
    </row>
    <row r="43" spans="1:23" hidden="1" x14ac:dyDescent="0.25">
      <c r="A43" s="1">
        <f>IF(D16="",0,(IF(D16&gt;E16,3,IF(D16=E16,1,0))))</f>
        <v>0</v>
      </c>
      <c r="B43" s="1">
        <f>IF(E16="",0,(IF(E16&gt;D16,3,IF(E16=D16,1,0))))</f>
        <v>0</v>
      </c>
      <c r="G43" s="1">
        <f>IF(J16="",0,(IF(J16&gt;K16,3,IF(J16=K16,1,0))))</f>
        <v>0</v>
      </c>
      <c r="H43" s="1">
        <f>IF(K16="",0,(IF(K16&gt;J16,3,IF(K16=J16,1,0))))</f>
        <v>0</v>
      </c>
    </row>
    <row r="44" spans="1:23" hidden="1" x14ac:dyDescent="0.25"/>
    <row r="45" spans="1:23" hidden="1" x14ac:dyDescent="0.25"/>
    <row r="46" spans="1:23" hidden="1" x14ac:dyDescent="0.25">
      <c r="A46" s="1">
        <f>IF(D19="",0,(IF(D19&gt;E19,3,IF(D19=E19,1,0))))</f>
        <v>0</v>
      </c>
      <c r="B46" s="1">
        <f>IF(E19="",0,(IF(E19&gt;D19,3,IF(E19=D19,1,0))))</f>
        <v>0</v>
      </c>
      <c r="G46" s="1">
        <f>IF(J19="",0,(IF(J19&gt;K19,3,IF(J19=K19,1,0))))</f>
        <v>0</v>
      </c>
      <c r="H46" s="1">
        <f>IF(K19="",0,(IF(K19&gt;J19,3,IF(K19=J19,1,0))))</f>
        <v>0</v>
      </c>
    </row>
    <row r="47" spans="1:23" hidden="1" x14ac:dyDescent="0.25">
      <c r="A47" s="1">
        <f>IF(D20="",0,(IF(D20&gt;E20,3,IF(D20=E20,1,0))))</f>
        <v>0</v>
      </c>
      <c r="B47" s="1">
        <f>IF(E20="",0,(IF(E20&gt;D20,3,IF(E20=D20,1,0))))</f>
        <v>0</v>
      </c>
      <c r="G47" s="1">
        <f>IF(J20="",0,(IF(J20&gt;K20,3,IF(J20=K20,1,0))))</f>
        <v>0</v>
      </c>
      <c r="H47" s="1">
        <f>IF(K20="",0,(IF(K20&gt;J20,3,IF(K20=J20,1,0))))</f>
        <v>0</v>
      </c>
    </row>
    <row r="48" spans="1:23" hidden="1" x14ac:dyDescent="0.25"/>
    <row r="49" spans="1:8" hidden="1" x14ac:dyDescent="0.25"/>
    <row r="50" spans="1:8" hidden="1" x14ac:dyDescent="0.25">
      <c r="A50" s="1">
        <f>IF(D23="",0,(IF(D23&gt;E23,3,IF(D23=E23,1,0))))</f>
        <v>0</v>
      </c>
      <c r="B50" s="1">
        <f>IF(E23="",0,(IF(E23&gt;D23,3,IF(E23=D23,1,0))))</f>
        <v>0</v>
      </c>
      <c r="G50" s="1">
        <f>IF(J23="",0,(IF(J23&gt;K23,3,IF(J23=K23,1,0))))</f>
        <v>0</v>
      </c>
      <c r="H50" s="1">
        <f>IF(K23="",0,(IF(K23&gt;J23,3,IF(K23=J23,1,0))))</f>
        <v>0</v>
      </c>
    </row>
    <row r="51" spans="1:8" hidden="1" x14ac:dyDescent="0.25">
      <c r="A51" s="1">
        <f>IF(D24="",0,(IF(D24&gt;E24,3,IF(D24=E24,1,0))))</f>
        <v>0</v>
      </c>
      <c r="B51" s="1">
        <f>IF(E24="",0,(IF(E24&gt;D24,3,IF(E24=D24,1,0))))</f>
        <v>0</v>
      </c>
      <c r="G51" s="1">
        <f>IF(J24="",0,(IF(J24&gt;K24,3,IF(J24=K24,1,0))))</f>
        <v>0</v>
      </c>
      <c r="H51" s="1">
        <f>IF(K24="",0,(IF(K24&gt;J24,3,IF(K24=J24,1,0))))</f>
        <v>0</v>
      </c>
    </row>
    <row r="52" spans="1:8" hidden="1" x14ac:dyDescent="0.25"/>
    <row r="53" spans="1:8" hidden="1" x14ac:dyDescent="0.25"/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sheetProtection sheet="1" scenarios="1" selectLockedCells="1"/>
  <mergeCells count="84">
    <mergeCell ref="A32:K32"/>
    <mergeCell ref="M32:W32"/>
    <mergeCell ref="U33:W33"/>
    <mergeCell ref="A35:K35"/>
    <mergeCell ref="A41:Q41"/>
    <mergeCell ref="B30:C30"/>
    <mergeCell ref="D30:E30"/>
    <mergeCell ref="H30:I30"/>
    <mergeCell ref="J30:K30"/>
    <mergeCell ref="B31:C31"/>
    <mergeCell ref="D31:E31"/>
    <mergeCell ref="H31:I31"/>
    <mergeCell ref="J31:K31"/>
    <mergeCell ref="B28:C28"/>
    <mergeCell ref="D28:E28"/>
    <mergeCell ref="H28:I28"/>
    <mergeCell ref="J28:K28"/>
    <mergeCell ref="B29:C29"/>
    <mergeCell ref="D29:E29"/>
    <mergeCell ref="H29:I29"/>
    <mergeCell ref="J29:K29"/>
    <mergeCell ref="N24:O24"/>
    <mergeCell ref="P24:Q24"/>
    <mergeCell ref="T24:U24"/>
    <mergeCell ref="V24:W24"/>
    <mergeCell ref="A26:K26"/>
    <mergeCell ref="B27:C27"/>
    <mergeCell ref="D27:E27"/>
    <mergeCell ref="H27:I27"/>
    <mergeCell ref="J27:K27"/>
    <mergeCell ref="M27:W27"/>
    <mergeCell ref="N21:O21"/>
    <mergeCell ref="P21:Q21"/>
    <mergeCell ref="T21:U21"/>
    <mergeCell ref="V21:W21"/>
    <mergeCell ref="B22:C22"/>
    <mergeCell ref="D22:E22"/>
    <mergeCell ref="H22:I22"/>
    <mergeCell ref="J22:K22"/>
    <mergeCell ref="N17:O17"/>
    <mergeCell ref="P17:Q17"/>
    <mergeCell ref="T17:U17"/>
    <mergeCell ref="V17:W17"/>
    <mergeCell ref="B18:C18"/>
    <mergeCell ref="D18:E18"/>
    <mergeCell ref="H18:I18"/>
    <mergeCell ref="J18:K18"/>
    <mergeCell ref="P16:S16"/>
    <mergeCell ref="B11:C11"/>
    <mergeCell ref="D11:E11"/>
    <mergeCell ref="H11:I11"/>
    <mergeCell ref="J11:K11"/>
    <mergeCell ref="B12:C12"/>
    <mergeCell ref="D12:E12"/>
    <mergeCell ref="H12:I12"/>
    <mergeCell ref="J12:K12"/>
    <mergeCell ref="B14:C14"/>
    <mergeCell ref="D14:E14"/>
    <mergeCell ref="H14:I14"/>
    <mergeCell ref="J14:K14"/>
    <mergeCell ref="M16:O16"/>
    <mergeCell ref="B9:C9"/>
    <mergeCell ref="D9:E9"/>
    <mergeCell ref="H9:I9"/>
    <mergeCell ref="J9:K9"/>
    <mergeCell ref="B10:C10"/>
    <mergeCell ref="D10:E10"/>
    <mergeCell ref="H10:I10"/>
    <mergeCell ref="J10:K10"/>
    <mergeCell ref="L6:M6"/>
    <mergeCell ref="A7:C7"/>
    <mergeCell ref="D7:G7"/>
    <mergeCell ref="B8:C8"/>
    <mergeCell ref="D8:E8"/>
    <mergeCell ref="H8:I8"/>
    <mergeCell ref="J8:K8"/>
    <mergeCell ref="A1:S1"/>
    <mergeCell ref="U1:W5"/>
    <mergeCell ref="A3:I3"/>
    <mergeCell ref="E4:G4"/>
    <mergeCell ref="I4:K4"/>
    <mergeCell ref="L4:M4"/>
    <mergeCell ref="E5:G5"/>
    <mergeCell ref="L5:M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7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workbookViewId="0">
      <selection activeCell="A124" sqref="A124"/>
    </sheetView>
  </sheetViews>
  <sheetFormatPr baseColWidth="10" defaultRowHeight="15" x14ac:dyDescent="0.25"/>
  <cols>
    <col min="1" max="1" width="20.85546875" style="305" customWidth="1"/>
    <col min="2" max="5" width="34.85546875" customWidth="1"/>
  </cols>
  <sheetData>
    <row r="1" spans="1:5" ht="91.7" customHeight="1" thickBot="1" x14ac:dyDescent="0.3">
      <c r="A1" s="660" t="s">
        <v>151</v>
      </c>
      <c r="B1" s="661"/>
      <c r="C1" s="661"/>
      <c r="D1" s="661"/>
      <c r="E1" s="661"/>
    </row>
    <row r="2" spans="1:5" s="286" customFormat="1" ht="15.75" thickBot="1" x14ac:dyDescent="0.3">
      <c r="A2" s="282" t="s">
        <v>102</v>
      </c>
      <c r="B2" s="283" t="s">
        <v>103</v>
      </c>
      <c r="C2" s="284" t="s">
        <v>104</v>
      </c>
      <c r="D2" s="283" t="s">
        <v>105</v>
      </c>
      <c r="E2" s="285" t="s">
        <v>122</v>
      </c>
    </row>
    <row r="3" spans="1:5" s="291" customFormat="1" ht="27.6" customHeight="1" x14ac:dyDescent="0.25">
      <c r="A3" s="287" t="s">
        <v>123</v>
      </c>
      <c r="B3" s="288" t="s">
        <v>124</v>
      </c>
      <c r="C3" s="289" t="s">
        <v>152</v>
      </c>
      <c r="D3" s="288" t="s">
        <v>125</v>
      </c>
      <c r="E3" s="290" t="s">
        <v>125</v>
      </c>
    </row>
    <row r="4" spans="1:5" s="291" customFormat="1" ht="27.6" customHeight="1" x14ac:dyDescent="0.25">
      <c r="A4" s="292" t="s">
        <v>128</v>
      </c>
      <c r="B4" s="293" t="s">
        <v>153</v>
      </c>
      <c r="C4" s="296" t="s">
        <v>154</v>
      </c>
      <c r="D4" s="293" t="s">
        <v>155</v>
      </c>
      <c r="E4" s="295" t="s">
        <v>155</v>
      </c>
    </row>
    <row r="5" spans="1:5" s="291" customFormat="1" ht="27.6" customHeight="1" x14ac:dyDescent="0.25">
      <c r="A5" s="292" t="s">
        <v>132</v>
      </c>
      <c r="B5" s="293" t="s">
        <v>156</v>
      </c>
      <c r="C5" s="296" t="s">
        <v>157</v>
      </c>
      <c r="D5" s="293" t="s">
        <v>158</v>
      </c>
      <c r="E5" s="295" t="s">
        <v>158</v>
      </c>
    </row>
    <row r="6" spans="1:5" s="291" customFormat="1" ht="27.6" customHeight="1" x14ac:dyDescent="0.25">
      <c r="A6" s="292" t="s">
        <v>135</v>
      </c>
      <c r="B6" s="293" t="s">
        <v>211</v>
      </c>
      <c r="C6" s="294" t="s">
        <v>212</v>
      </c>
      <c r="D6" s="293" t="s">
        <v>210</v>
      </c>
      <c r="E6" s="295" t="s">
        <v>210</v>
      </c>
    </row>
    <row r="7" spans="1:5" s="291" customFormat="1" ht="27.6" customHeight="1" x14ac:dyDescent="0.25">
      <c r="A7" s="292" t="s">
        <v>138</v>
      </c>
      <c r="B7" s="296" t="s">
        <v>139</v>
      </c>
      <c r="C7" s="297" t="s">
        <v>139</v>
      </c>
      <c r="D7" s="296" t="s">
        <v>140</v>
      </c>
      <c r="E7" s="296" t="s">
        <v>140</v>
      </c>
    </row>
    <row r="8" spans="1:5" s="291" customFormat="1" ht="27.6" customHeight="1" x14ac:dyDescent="0.25">
      <c r="A8" s="299" t="s">
        <v>205</v>
      </c>
      <c r="B8" s="296" t="s">
        <v>142</v>
      </c>
      <c r="C8" s="297" t="s">
        <v>143</v>
      </c>
      <c r="D8" s="296" t="s">
        <v>143</v>
      </c>
      <c r="E8" s="298" t="s">
        <v>144</v>
      </c>
    </row>
    <row r="9" spans="1:5" s="291" customFormat="1" ht="27.6" customHeight="1" x14ac:dyDescent="0.25">
      <c r="A9" s="292" t="s">
        <v>145</v>
      </c>
      <c r="B9" s="293" t="s">
        <v>224</v>
      </c>
      <c r="C9" s="294" t="s">
        <v>224</v>
      </c>
      <c r="D9" s="296" t="s">
        <v>206</v>
      </c>
      <c r="E9" s="298" t="s">
        <v>207</v>
      </c>
    </row>
    <row r="10" spans="1:5" s="291" customFormat="1" ht="99.95" customHeight="1" x14ac:dyDescent="0.25">
      <c r="A10" s="665" t="s">
        <v>209</v>
      </c>
      <c r="B10" s="300" t="s">
        <v>219</v>
      </c>
      <c r="C10" s="300" t="s">
        <v>219</v>
      </c>
      <c r="D10" s="300" t="s">
        <v>225</v>
      </c>
      <c r="E10" s="301" t="s">
        <v>226</v>
      </c>
    </row>
    <row r="11" spans="1:5" s="291" customFormat="1" ht="15" customHeight="1" x14ac:dyDescent="0.25">
      <c r="A11" s="666"/>
      <c r="B11" s="662" t="s">
        <v>208</v>
      </c>
      <c r="C11" s="663"/>
      <c r="D11" s="663"/>
      <c r="E11" s="664"/>
    </row>
    <row r="12" spans="1:5" s="291" customFormat="1" ht="264.95" customHeight="1" thickBot="1" x14ac:dyDescent="0.3">
      <c r="A12" s="302" t="s">
        <v>146</v>
      </c>
      <c r="B12" s="303" t="s">
        <v>159</v>
      </c>
      <c r="C12" s="303" t="s">
        <v>160</v>
      </c>
      <c r="D12" s="303" t="s">
        <v>161</v>
      </c>
      <c r="E12" s="303" t="s">
        <v>161</v>
      </c>
    </row>
    <row r="13" spans="1:5" s="291" customFormat="1" x14ac:dyDescent="0.25">
      <c r="A13" s="286"/>
      <c r="B13" s="304"/>
      <c r="C13" s="304"/>
      <c r="D13" s="304"/>
      <c r="E13" s="381" t="s">
        <v>216</v>
      </c>
    </row>
    <row r="14" spans="1:5" s="291" customFormat="1" x14ac:dyDescent="0.25">
      <c r="A14" s="286"/>
      <c r="B14" s="304"/>
      <c r="C14" s="304"/>
      <c r="D14" s="304"/>
      <c r="E14" s="304"/>
    </row>
    <row r="15" spans="1:5" s="291" customFormat="1" x14ac:dyDescent="0.25">
      <c r="A15" s="286"/>
      <c r="B15" s="228"/>
      <c r="C15" s="228"/>
      <c r="D15" s="228"/>
      <c r="E15" s="228"/>
    </row>
    <row r="16" spans="1:5" s="291" customFormat="1" x14ac:dyDescent="0.25">
      <c r="A16" s="286"/>
      <c r="B16" s="228"/>
      <c r="C16" s="228"/>
      <c r="D16" s="228"/>
      <c r="E16" s="228"/>
    </row>
    <row r="17" spans="1:5" s="291" customFormat="1" x14ac:dyDescent="0.25">
      <c r="A17" s="286"/>
      <c r="B17" s="228"/>
      <c r="C17" s="228"/>
      <c r="D17" s="228"/>
      <c r="E17" s="228"/>
    </row>
    <row r="18" spans="1:5" s="291" customFormat="1" x14ac:dyDescent="0.25">
      <c r="A18" s="286"/>
      <c r="B18" s="228"/>
      <c r="C18" s="228"/>
      <c r="D18" s="228"/>
      <c r="E18" s="228"/>
    </row>
    <row r="19" spans="1:5" s="291" customFormat="1" x14ac:dyDescent="0.25">
      <c r="A19" s="286"/>
      <c r="B19" s="228"/>
      <c r="C19" s="228"/>
      <c r="D19" s="228"/>
      <c r="E19" s="228"/>
    </row>
    <row r="20" spans="1:5" s="291" customFormat="1" x14ac:dyDescent="0.25">
      <c r="A20" s="286"/>
      <c r="B20" s="228"/>
      <c r="C20" s="228"/>
      <c r="D20" s="228"/>
      <c r="E20" s="228"/>
    </row>
    <row r="21" spans="1:5" s="291" customFormat="1" x14ac:dyDescent="0.25">
      <c r="A21" s="286"/>
      <c r="B21" s="228"/>
      <c r="C21" s="228"/>
      <c r="D21" s="228"/>
      <c r="E21" s="228"/>
    </row>
  </sheetData>
  <sheetProtection sheet="1" objects="1" scenarios="1"/>
  <mergeCells count="3">
    <mergeCell ref="A1:E1"/>
    <mergeCell ref="B11:E11"/>
    <mergeCell ref="A10:A11"/>
  </mergeCells>
  <printOptions horizontalCentered="1"/>
  <pageMargins left="3.937007874015748E-2" right="3.937007874015748E-2" top="0.15748031496062992" bottom="0.15748031496062992" header="0" footer="0"/>
  <pageSetup paperSize="9" scale="84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R38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24" width="11.5703125" style="1"/>
    <col min="25" max="44" width="5.85546875" style="1" hidden="1" customWidth="1"/>
    <col min="45" max="55" width="0" style="1" hidden="1" customWidth="1"/>
    <col min="56" max="16384" width="11.5703125" style="1"/>
  </cols>
  <sheetData>
    <row r="1" spans="1:44" ht="24.95" customHeight="1" x14ac:dyDescent="0.25">
      <c r="A1" s="821" t="s">
        <v>243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3"/>
      <c r="U1" s="826"/>
      <c r="V1" s="827"/>
      <c r="W1" s="828"/>
    </row>
    <row r="2" spans="1:44" ht="24.95" customHeight="1" x14ac:dyDescent="0.25">
      <c r="A2" s="262" t="s">
        <v>169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104"/>
      <c r="P2" s="218"/>
      <c r="Q2" s="218"/>
      <c r="R2" s="218"/>
      <c r="S2" s="218"/>
      <c r="T2" s="326"/>
      <c r="U2" s="829"/>
      <c r="V2" s="830"/>
      <c r="W2" s="831"/>
    </row>
    <row r="3" spans="1:44" ht="24.95" customHeight="1" thickBot="1" x14ac:dyDescent="0.3">
      <c r="A3" s="736" t="s">
        <v>9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104"/>
      <c r="P3" s="218"/>
      <c r="Q3" s="218"/>
      <c r="R3" s="218"/>
      <c r="S3" s="218"/>
      <c r="T3" s="326"/>
      <c r="U3" s="829"/>
      <c r="V3" s="830"/>
      <c r="W3" s="831"/>
    </row>
    <row r="4" spans="1:44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311"/>
      <c r="I4" s="264" t="s">
        <v>54</v>
      </c>
      <c r="J4" s="264"/>
      <c r="K4" s="312"/>
      <c r="L4" s="742">
        <f>(3*G6)+(3*S6)</f>
        <v>6.25E-2</v>
      </c>
      <c r="M4" s="742"/>
      <c r="N4" s="264" t="s">
        <v>33</v>
      </c>
      <c r="O4" s="264"/>
      <c r="P4" s="218"/>
      <c r="Q4" s="218"/>
      <c r="R4" s="218"/>
      <c r="S4" s="218"/>
      <c r="T4" s="326"/>
      <c r="U4" s="829"/>
      <c r="V4" s="830"/>
      <c r="W4" s="831"/>
      <c r="X4" s="71"/>
      <c r="Y4" s="71"/>
      <c r="Z4" s="71"/>
      <c r="AA4" s="71"/>
      <c r="AB4" s="71"/>
    </row>
    <row r="5" spans="1:44" ht="16.5" thickBot="1" x14ac:dyDescent="0.3">
      <c r="A5" s="317" t="s">
        <v>32</v>
      </c>
      <c r="B5" s="215"/>
      <c r="C5" s="215"/>
      <c r="D5" s="215"/>
      <c r="E5" s="876">
        <f>S23-A14+S6</f>
        <v>0.35069444444444392</v>
      </c>
      <c r="F5" s="876"/>
      <c r="G5" s="876"/>
      <c r="H5" s="215"/>
      <c r="I5" s="216" t="s">
        <v>79</v>
      </c>
      <c r="J5" s="216"/>
      <c r="K5" s="216"/>
      <c r="L5" s="687">
        <v>2.0833333333333332E-2</v>
      </c>
      <c r="M5" s="688"/>
      <c r="N5" s="215"/>
      <c r="O5" s="216" t="s">
        <v>244</v>
      </c>
      <c r="P5" s="216"/>
      <c r="Q5" s="216"/>
      <c r="R5" s="687">
        <v>3.472222222222222E-3</v>
      </c>
      <c r="S5" s="688"/>
      <c r="T5" s="327"/>
      <c r="U5" s="832"/>
      <c r="V5" s="833"/>
      <c r="W5" s="834"/>
      <c r="Z5" s="3"/>
    </row>
    <row r="6" spans="1:44" ht="16.5" thickBot="1" x14ac:dyDescent="0.3">
      <c r="A6" s="701" t="s">
        <v>19</v>
      </c>
      <c r="B6" s="685"/>
      <c r="C6" s="685"/>
      <c r="D6" s="686" t="s">
        <v>18</v>
      </c>
      <c r="E6" s="686"/>
      <c r="F6" s="686"/>
      <c r="G6" s="782">
        <v>1.0416666666666666E-2</v>
      </c>
      <c r="H6" s="782"/>
      <c r="I6" s="425" t="s">
        <v>17</v>
      </c>
      <c r="J6" s="425"/>
      <c r="K6" s="427"/>
      <c r="L6" s="109"/>
      <c r="M6" s="701" t="s">
        <v>20</v>
      </c>
      <c r="N6" s="685"/>
      <c r="O6" s="685"/>
      <c r="P6" s="868" t="s">
        <v>18</v>
      </c>
      <c r="Q6" s="868"/>
      <c r="R6" s="868"/>
      <c r="S6" s="782">
        <v>1.0416666666666666E-2</v>
      </c>
      <c r="T6" s="782"/>
      <c r="U6" s="425" t="s">
        <v>17</v>
      </c>
      <c r="V6" s="425"/>
      <c r="W6" s="427"/>
    </row>
    <row r="7" spans="1:44" x14ac:dyDescent="0.25">
      <c r="A7" s="6"/>
      <c r="B7" s="744" t="s">
        <v>41</v>
      </c>
      <c r="C7" s="745"/>
      <c r="D7" s="744" t="s">
        <v>15</v>
      </c>
      <c r="E7" s="746"/>
      <c r="F7" s="102"/>
      <c r="G7" s="7"/>
      <c r="H7" s="747" t="s">
        <v>42</v>
      </c>
      <c r="I7" s="748"/>
      <c r="J7" s="747" t="s">
        <v>15</v>
      </c>
      <c r="K7" s="749"/>
      <c r="L7" s="110"/>
      <c r="M7" s="8"/>
      <c r="N7" s="804" t="s">
        <v>30</v>
      </c>
      <c r="O7" s="805"/>
      <c r="P7" s="852" t="s">
        <v>15</v>
      </c>
      <c r="Q7" s="853"/>
      <c r="R7" s="102"/>
      <c r="S7" s="9"/>
      <c r="T7" s="807" t="s">
        <v>31</v>
      </c>
      <c r="U7" s="808"/>
      <c r="V7" s="850" t="s">
        <v>15</v>
      </c>
      <c r="W7" s="851"/>
    </row>
    <row r="8" spans="1:44" x14ac:dyDescent="0.25">
      <c r="A8" s="10">
        <v>1</v>
      </c>
      <c r="B8" s="731" t="s">
        <v>22</v>
      </c>
      <c r="C8" s="732"/>
      <c r="D8" s="725">
        <f>Y14+Y18+Y22+C34/1000000</f>
        <v>0</v>
      </c>
      <c r="E8" s="726"/>
      <c r="F8" s="103"/>
      <c r="G8" s="11">
        <v>1</v>
      </c>
      <c r="H8" s="727" t="s">
        <v>26</v>
      </c>
      <c r="I8" s="728"/>
      <c r="J8" s="856">
        <f>AE14+AE18+AE22</f>
        <v>0</v>
      </c>
      <c r="K8" s="857"/>
      <c r="L8" s="110"/>
      <c r="M8" s="12">
        <v>1</v>
      </c>
      <c r="N8" s="844" t="str">
        <f>IF(D14="","4eme A",B30)</f>
        <v>4eme A</v>
      </c>
      <c r="O8" s="845"/>
      <c r="P8" s="858">
        <f>AK14+AK18+AK22</f>
        <v>0</v>
      </c>
      <c r="Q8" s="859"/>
      <c r="R8" s="103"/>
      <c r="S8" s="13">
        <v>1</v>
      </c>
      <c r="T8" s="835" t="str">
        <f>IF(D14="","2eme A",B28)</f>
        <v>2eme A</v>
      </c>
      <c r="U8" s="836"/>
      <c r="V8" s="860">
        <f>AQ14+AQ18+AQ22</f>
        <v>0</v>
      </c>
      <c r="W8" s="861"/>
    </row>
    <row r="9" spans="1:44" x14ac:dyDescent="0.25">
      <c r="A9" s="10">
        <v>2</v>
      </c>
      <c r="B9" s="731" t="s">
        <v>23</v>
      </c>
      <c r="C9" s="732"/>
      <c r="D9" s="725">
        <f>Z14+Y19+Y23+C35/1000000</f>
        <v>0</v>
      </c>
      <c r="E9" s="726"/>
      <c r="F9" s="103"/>
      <c r="G9" s="11">
        <v>2</v>
      </c>
      <c r="H9" s="727" t="s">
        <v>27</v>
      </c>
      <c r="I9" s="728"/>
      <c r="J9" s="856">
        <f>AF14+AE19+AE23</f>
        <v>0</v>
      </c>
      <c r="K9" s="857"/>
      <c r="L9" s="110"/>
      <c r="M9" s="12">
        <v>2</v>
      </c>
      <c r="N9" s="844" t="str">
        <f>IF(D14="","3eme B",H29)</f>
        <v>3eme B</v>
      </c>
      <c r="O9" s="845"/>
      <c r="P9" s="858">
        <f>AL14+AK19+AK23</f>
        <v>0</v>
      </c>
      <c r="Q9" s="859"/>
      <c r="R9" s="103"/>
      <c r="S9" s="13">
        <v>2</v>
      </c>
      <c r="T9" s="835" t="str">
        <f>IF(D14="","1er B",H27)</f>
        <v>1er B</v>
      </c>
      <c r="U9" s="836"/>
      <c r="V9" s="860">
        <f>AR14+AQ19+AQ23</f>
        <v>0</v>
      </c>
      <c r="W9" s="861"/>
      <c r="Y9" s="14"/>
    </row>
    <row r="10" spans="1:44" x14ac:dyDescent="0.25">
      <c r="A10" s="10">
        <v>3</v>
      </c>
      <c r="B10" s="731" t="s">
        <v>24</v>
      </c>
      <c r="C10" s="732"/>
      <c r="D10" s="725">
        <f>Y15+Z18+Z23+C36/1000000</f>
        <v>0</v>
      </c>
      <c r="E10" s="726"/>
      <c r="F10" s="103"/>
      <c r="G10" s="11">
        <v>3</v>
      </c>
      <c r="H10" s="727" t="s">
        <v>28</v>
      </c>
      <c r="I10" s="728"/>
      <c r="J10" s="856">
        <f>AE15+AF18+AF23</f>
        <v>0</v>
      </c>
      <c r="K10" s="857"/>
      <c r="L10" s="110"/>
      <c r="M10" s="12">
        <v>3</v>
      </c>
      <c r="N10" s="844" t="str">
        <f>IF(D14="","3eme A",B29)</f>
        <v>3eme A</v>
      </c>
      <c r="O10" s="845"/>
      <c r="P10" s="858">
        <f>AK15+AL18+AL23</f>
        <v>0</v>
      </c>
      <c r="Q10" s="859"/>
      <c r="R10" s="103"/>
      <c r="S10" s="13">
        <v>3</v>
      </c>
      <c r="T10" s="835" t="str">
        <f>IF(D14="","1er A",B27)</f>
        <v>1er A</v>
      </c>
      <c r="U10" s="836"/>
      <c r="V10" s="860">
        <f>AQ15+AR18+AR23</f>
        <v>0</v>
      </c>
      <c r="W10" s="861"/>
    </row>
    <row r="11" spans="1:44" ht="15.75" thickBot="1" x14ac:dyDescent="0.3">
      <c r="A11" s="15">
        <v>4</v>
      </c>
      <c r="B11" s="717" t="s">
        <v>25</v>
      </c>
      <c r="C11" s="718"/>
      <c r="D11" s="719">
        <f>Z15+Z19+Z22+C37/1000000</f>
        <v>0</v>
      </c>
      <c r="E11" s="720"/>
      <c r="F11" s="103"/>
      <c r="G11" s="16">
        <v>4</v>
      </c>
      <c r="H11" s="721" t="s">
        <v>29</v>
      </c>
      <c r="I11" s="722"/>
      <c r="J11" s="854">
        <f>AF15+AF19+AF22</f>
        <v>0</v>
      </c>
      <c r="K11" s="855"/>
      <c r="L11" s="110"/>
      <c r="M11" s="17">
        <v>4</v>
      </c>
      <c r="N11" s="846" t="str">
        <f>IF(D14="","4eme B",H30)</f>
        <v>4eme B</v>
      </c>
      <c r="O11" s="847"/>
      <c r="P11" s="848">
        <f>AL15+AL19+AL22</f>
        <v>0</v>
      </c>
      <c r="Q11" s="849"/>
      <c r="R11" s="103"/>
      <c r="S11" s="18">
        <v>4</v>
      </c>
      <c r="T11" s="837" t="str">
        <f>IF(D14="","2eme B",H28)</f>
        <v>2eme B</v>
      </c>
      <c r="U11" s="838"/>
      <c r="V11" s="862">
        <f>AR15+AR19+AR22</f>
        <v>0</v>
      </c>
      <c r="W11" s="863"/>
    </row>
    <row r="12" spans="1:44" ht="15.75" thickBot="1" x14ac:dyDescent="0.3">
      <c r="A12" s="19"/>
      <c r="B12" s="2"/>
      <c r="C12" s="2"/>
      <c r="D12" s="2"/>
      <c r="E12" s="2"/>
      <c r="F12" s="2"/>
      <c r="G12" s="2"/>
      <c r="H12" s="2"/>
      <c r="I12" s="20"/>
      <c r="J12" s="2"/>
      <c r="K12" s="21"/>
      <c r="L12" s="110"/>
      <c r="M12" s="19"/>
      <c r="N12" s="2"/>
      <c r="O12" s="2"/>
      <c r="P12" s="2"/>
      <c r="Q12" s="2"/>
      <c r="R12" s="2"/>
      <c r="S12" s="2"/>
      <c r="T12" s="2"/>
      <c r="U12" s="2"/>
      <c r="V12" s="22"/>
      <c r="W12" s="23"/>
    </row>
    <row r="13" spans="1:44" s="29" customFormat="1" x14ac:dyDescent="0.25">
      <c r="A13" s="24"/>
      <c r="B13" s="713" t="s">
        <v>5</v>
      </c>
      <c r="C13" s="713"/>
      <c r="D13" s="713" t="s">
        <v>16</v>
      </c>
      <c r="E13" s="714"/>
      <c r="F13" s="25"/>
      <c r="G13" s="26"/>
      <c r="H13" s="715" t="s">
        <v>5</v>
      </c>
      <c r="I13" s="715"/>
      <c r="J13" s="715" t="s">
        <v>16</v>
      </c>
      <c r="K13" s="716"/>
      <c r="L13" s="111"/>
      <c r="M13" s="27"/>
      <c r="N13" s="786" t="s">
        <v>10</v>
      </c>
      <c r="O13" s="786"/>
      <c r="P13" s="786" t="s">
        <v>16</v>
      </c>
      <c r="Q13" s="787"/>
      <c r="R13" s="25"/>
      <c r="S13" s="28"/>
      <c r="T13" s="784" t="s">
        <v>10</v>
      </c>
      <c r="U13" s="784"/>
      <c r="V13" s="784" t="s">
        <v>16</v>
      </c>
      <c r="W13" s="785"/>
      <c r="Y13" s="1"/>
      <c r="Z13" s="1"/>
    </row>
    <row r="14" spans="1:44" x14ac:dyDescent="0.25">
      <c r="A14" s="30">
        <f>E4</f>
        <v>0.375</v>
      </c>
      <c r="B14" s="31" t="str">
        <f>B8</f>
        <v>Equipe 1</v>
      </c>
      <c r="C14" s="31" t="str">
        <f>B9</f>
        <v>Equipe 2</v>
      </c>
      <c r="D14" s="53"/>
      <c r="E14" s="54"/>
      <c r="F14" s="2"/>
      <c r="G14" s="32">
        <f>A15+$G$6++R5</f>
        <v>0.40277777777777779</v>
      </c>
      <c r="H14" s="33" t="str">
        <f>H8</f>
        <v>Equipe 5</v>
      </c>
      <c r="I14" s="33" t="str">
        <f>H9</f>
        <v>Equipe 6</v>
      </c>
      <c r="J14" s="57"/>
      <c r="K14" s="58"/>
      <c r="L14" s="110"/>
      <c r="M14" s="34">
        <f>G23+$G$6+R5+L5</f>
        <v>0.5625</v>
      </c>
      <c r="N14" s="35" t="str">
        <f>N8</f>
        <v>4eme A</v>
      </c>
      <c r="O14" s="35" t="str">
        <f>N9</f>
        <v>3eme B</v>
      </c>
      <c r="P14" s="61"/>
      <c r="Q14" s="62"/>
      <c r="R14" s="2"/>
      <c r="S14" s="36">
        <f>M15+$S$6+R5</f>
        <v>0.59027777777777768</v>
      </c>
      <c r="T14" s="37" t="str">
        <f>T8</f>
        <v>2eme A</v>
      </c>
      <c r="U14" s="37" t="str">
        <f>T9</f>
        <v>1er B</v>
      </c>
      <c r="V14" s="65"/>
      <c r="W14" s="66"/>
      <c r="Y14" s="1">
        <f>IF(D14="",0,(IF(D14&gt;E14,3,IF(D14=E14,1,0))))</f>
        <v>0</v>
      </c>
      <c r="Z14" s="1">
        <f>IF(E14="",0,(IF(E14&gt;D14,3,IF(E14=D14,1,0))))</f>
        <v>0</v>
      </c>
      <c r="AE14" s="1">
        <f>IF(J14="",0,(IF(J14&gt;K14,3,IF(J14=K14,1,0))))</f>
        <v>0</v>
      </c>
      <c r="AF14" s="1">
        <f>IF(K14="",0,(IF(K14&gt;J14,3,IF(K14=J14,1,0))))</f>
        <v>0</v>
      </c>
      <c r="AK14" s="1">
        <f>IF(P14="",0,(IF(P14&gt;Q14,3,IF(P14=Q14,1,0))))</f>
        <v>0</v>
      </c>
      <c r="AL14" s="1">
        <f>IF(Q14="",0,(IF(Q14&gt;P14,3,IF(Q14=P14,1,0))))</f>
        <v>0</v>
      </c>
      <c r="AQ14" s="1">
        <f>IF(V14="",0,(IF(V14&gt;W14,3,IF(V14=W14,1,0))))</f>
        <v>0</v>
      </c>
      <c r="AR14" s="1">
        <f>IF(W14="",0,(IF(W14&gt;V14,3,IF(W14=V14,1,0))))</f>
        <v>0</v>
      </c>
    </row>
    <row r="15" spans="1:44" ht="15.75" thickBot="1" x14ac:dyDescent="0.3">
      <c r="A15" s="38">
        <f>A14+$G$6+R5</f>
        <v>0.3888888888888889</v>
      </c>
      <c r="B15" s="39" t="str">
        <f>B10</f>
        <v>Equipe 3</v>
      </c>
      <c r="C15" s="39" t="str">
        <f>B11</f>
        <v>Equipe 4</v>
      </c>
      <c r="D15" s="55"/>
      <c r="E15" s="56"/>
      <c r="F15" s="2"/>
      <c r="G15" s="40">
        <f>G14+$G$6++R5</f>
        <v>0.41666666666666669</v>
      </c>
      <c r="H15" s="41" t="str">
        <f>H10</f>
        <v>Equipe 7</v>
      </c>
      <c r="I15" s="41" t="str">
        <f>H11</f>
        <v>Equipe 8</v>
      </c>
      <c r="J15" s="59"/>
      <c r="K15" s="60"/>
      <c r="L15" s="110"/>
      <c r="M15" s="42">
        <f>M14+$S$6+R5</f>
        <v>0.57638888888888884</v>
      </c>
      <c r="N15" s="43" t="str">
        <f>N10</f>
        <v>3eme A</v>
      </c>
      <c r="O15" s="43" t="str">
        <f>N11</f>
        <v>4eme B</v>
      </c>
      <c r="P15" s="63"/>
      <c r="Q15" s="64"/>
      <c r="R15" s="2"/>
      <c r="S15" s="44">
        <f>S14+$S$6+R5</f>
        <v>0.60416666666666652</v>
      </c>
      <c r="T15" s="45" t="str">
        <f>T10</f>
        <v>1er A</v>
      </c>
      <c r="U15" s="45" t="str">
        <f>T11</f>
        <v>2eme B</v>
      </c>
      <c r="V15" s="67"/>
      <c r="W15" s="68"/>
      <c r="Y15" s="1">
        <f t="shared" ref="Y15:Y23" si="0">IF(D15="",0,(IF(D15&gt;E15,3,IF(D15=E15,1,0))))</f>
        <v>0</v>
      </c>
      <c r="Z15" s="1">
        <f t="shared" ref="Z15:Z23" si="1">IF(E15="",0,(IF(E15&gt;D15,3,IF(E15=D15,1,0))))</f>
        <v>0</v>
      </c>
      <c r="AE15" s="1">
        <f t="shared" ref="AE15:AE23" si="2">IF(J15="",0,(IF(J15&gt;K15,3,IF(J15=K15,1,0))))</f>
        <v>0</v>
      </c>
      <c r="AF15" s="1">
        <f t="shared" ref="AF15:AF23" si="3">IF(K15="",0,(IF(K15&gt;J15,3,IF(K15=J15,1,0))))</f>
        <v>0</v>
      </c>
      <c r="AK15" s="1">
        <f t="shared" ref="AK15:AK23" si="4">IF(P15="",0,(IF(P15&gt;Q15,3,IF(P15=Q15,1,0))))</f>
        <v>0</v>
      </c>
      <c r="AL15" s="1">
        <f t="shared" ref="AL15:AL23" si="5">IF(Q15="",0,(IF(Q15&gt;P15,3,IF(Q15=P15,1,0))))</f>
        <v>0</v>
      </c>
      <c r="AQ15" s="1">
        <f t="shared" ref="AQ15:AQ23" si="6">IF(V15="",0,(IF(V15&gt;W15,3,IF(V15=W15,1,0))))</f>
        <v>0</v>
      </c>
      <c r="AR15" s="1">
        <f t="shared" ref="AR15:AR23" si="7">IF(W15="",0,(IF(W15&gt;V15,3,IF(W15=V15,1,0))))</f>
        <v>0</v>
      </c>
    </row>
    <row r="16" spans="1:44" ht="15.75" thickBot="1" x14ac:dyDescent="0.3">
      <c r="A16" s="19"/>
      <c r="B16" s="2"/>
      <c r="C16" s="2"/>
      <c r="D16" s="411"/>
      <c r="E16" s="411"/>
      <c r="F16" s="2"/>
      <c r="G16" s="2"/>
      <c r="H16" s="2"/>
      <c r="I16" s="47"/>
      <c r="J16" s="411"/>
      <c r="K16" s="412"/>
      <c r="L16" s="110"/>
      <c r="M16" s="19"/>
      <c r="N16" s="2"/>
      <c r="O16" s="2"/>
      <c r="P16" s="411"/>
      <c r="Q16" s="411"/>
      <c r="R16" s="2"/>
      <c r="S16" s="2"/>
      <c r="T16" s="2"/>
      <c r="U16" s="2"/>
      <c r="V16" s="411"/>
      <c r="W16" s="412"/>
    </row>
    <row r="17" spans="1:44" s="29" customFormat="1" x14ac:dyDescent="0.25">
      <c r="A17" s="24"/>
      <c r="B17" s="713" t="s">
        <v>6</v>
      </c>
      <c r="C17" s="713"/>
      <c r="D17" s="713" t="s">
        <v>16</v>
      </c>
      <c r="E17" s="714"/>
      <c r="F17" s="25"/>
      <c r="G17" s="26"/>
      <c r="H17" s="715" t="s">
        <v>6</v>
      </c>
      <c r="I17" s="715"/>
      <c r="J17" s="715" t="s">
        <v>16</v>
      </c>
      <c r="K17" s="716"/>
      <c r="L17" s="111"/>
      <c r="M17" s="27"/>
      <c r="N17" s="786" t="s">
        <v>11</v>
      </c>
      <c r="O17" s="786"/>
      <c r="P17" s="786" t="s">
        <v>16</v>
      </c>
      <c r="Q17" s="787"/>
      <c r="R17" s="25"/>
      <c r="S17" s="28"/>
      <c r="T17" s="784" t="s">
        <v>11</v>
      </c>
      <c r="U17" s="784"/>
      <c r="V17" s="784" t="s">
        <v>16</v>
      </c>
      <c r="W17" s="785"/>
      <c r="Y17" s="1"/>
      <c r="Z17" s="1"/>
      <c r="AB17" s="1"/>
      <c r="AC17" s="1"/>
      <c r="AE17" s="1"/>
      <c r="AF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5">
      <c r="A18" s="30">
        <f>G15+$G$6+R5</f>
        <v>0.43055555555555558</v>
      </c>
      <c r="B18" s="31" t="str">
        <f>B8</f>
        <v>Equipe 1</v>
      </c>
      <c r="C18" s="31" t="str">
        <f>B10</f>
        <v>Equipe 3</v>
      </c>
      <c r="D18" s="53"/>
      <c r="E18" s="54"/>
      <c r="F18" s="2"/>
      <c r="G18" s="32">
        <f>A19+$G$6+R5</f>
        <v>0.45833333333333337</v>
      </c>
      <c r="H18" s="33" t="str">
        <f>H8</f>
        <v>Equipe 5</v>
      </c>
      <c r="I18" s="33" t="str">
        <f>H10</f>
        <v>Equipe 7</v>
      </c>
      <c r="J18" s="57"/>
      <c r="K18" s="58"/>
      <c r="L18" s="110"/>
      <c r="M18" s="34">
        <f>S15+$S$6+R5</f>
        <v>0.61805555555555536</v>
      </c>
      <c r="N18" s="35" t="str">
        <f>N8</f>
        <v>4eme A</v>
      </c>
      <c r="O18" s="35" t="str">
        <f>N10</f>
        <v>3eme A</v>
      </c>
      <c r="P18" s="61"/>
      <c r="Q18" s="62"/>
      <c r="R18" s="2"/>
      <c r="S18" s="36">
        <f>M19+$S$6+R5</f>
        <v>0.64583333333333304</v>
      </c>
      <c r="T18" s="37" t="str">
        <f>T8</f>
        <v>2eme A</v>
      </c>
      <c r="U18" s="37" t="str">
        <f>T10</f>
        <v>1er A</v>
      </c>
      <c r="V18" s="65"/>
      <c r="W18" s="66"/>
      <c r="Y18" s="1">
        <f t="shared" si="0"/>
        <v>0</v>
      </c>
      <c r="Z18" s="1">
        <f t="shared" si="1"/>
        <v>0</v>
      </c>
      <c r="AE18" s="1">
        <f t="shared" si="2"/>
        <v>0</v>
      </c>
      <c r="AF18" s="1">
        <f t="shared" si="3"/>
        <v>0</v>
      </c>
      <c r="AK18" s="1">
        <f t="shared" si="4"/>
        <v>0</v>
      </c>
      <c r="AL18" s="1">
        <f t="shared" si="5"/>
        <v>0</v>
      </c>
      <c r="AQ18" s="1">
        <f t="shared" si="6"/>
        <v>0</v>
      </c>
      <c r="AR18" s="1">
        <f t="shared" si="7"/>
        <v>0</v>
      </c>
    </row>
    <row r="19" spans="1:44" ht="15.75" thickBot="1" x14ac:dyDescent="0.3">
      <c r="A19" s="38">
        <f>A18+$G$6+R5</f>
        <v>0.44444444444444448</v>
      </c>
      <c r="B19" s="39" t="str">
        <f>B9</f>
        <v>Equipe 2</v>
      </c>
      <c r="C19" s="39" t="str">
        <f>B11</f>
        <v>Equipe 4</v>
      </c>
      <c r="D19" s="55"/>
      <c r="E19" s="56"/>
      <c r="F19" s="2"/>
      <c r="G19" s="40">
        <f>G18+$G$6+R5</f>
        <v>0.47222222222222227</v>
      </c>
      <c r="H19" s="41" t="str">
        <f>H9</f>
        <v>Equipe 6</v>
      </c>
      <c r="I19" s="41" t="str">
        <f>H11</f>
        <v>Equipe 8</v>
      </c>
      <c r="J19" s="59"/>
      <c r="K19" s="60"/>
      <c r="L19" s="110"/>
      <c r="M19" s="42">
        <f>M18+$S$6+R5</f>
        <v>0.6319444444444442</v>
      </c>
      <c r="N19" s="43" t="str">
        <f>N9</f>
        <v>3eme B</v>
      </c>
      <c r="O19" s="43" t="str">
        <f>N11</f>
        <v>4eme B</v>
      </c>
      <c r="P19" s="63"/>
      <c r="Q19" s="64"/>
      <c r="R19" s="2"/>
      <c r="S19" s="44">
        <f>S18+$S$6+R5</f>
        <v>0.65972222222222188</v>
      </c>
      <c r="T19" s="45" t="str">
        <f>T9</f>
        <v>1er B</v>
      </c>
      <c r="U19" s="45" t="str">
        <f>T11</f>
        <v>2eme B</v>
      </c>
      <c r="V19" s="67"/>
      <c r="W19" s="68"/>
      <c r="Y19" s="1">
        <f t="shared" si="0"/>
        <v>0</v>
      </c>
      <c r="Z19" s="1">
        <f t="shared" si="1"/>
        <v>0</v>
      </c>
      <c r="AE19" s="1">
        <f t="shared" si="2"/>
        <v>0</v>
      </c>
      <c r="AF19" s="1">
        <f t="shared" si="3"/>
        <v>0</v>
      </c>
      <c r="AK19" s="1">
        <f t="shared" si="4"/>
        <v>0</v>
      </c>
      <c r="AL19" s="1">
        <f t="shared" si="5"/>
        <v>0</v>
      </c>
      <c r="AQ19" s="1">
        <f t="shared" si="6"/>
        <v>0</v>
      </c>
      <c r="AR19" s="1">
        <f t="shared" si="7"/>
        <v>0</v>
      </c>
    </row>
    <row r="20" spans="1:44" ht="15.75" thickBot="1" x14ac:dyDescent="0.3">
      <c r="A20" s="19"/>
      <c r="B20" s="2"/>
      <c r="C20" s="2"/>
      <c r="D20" s="411"/>
      <c r="E20" s="411"/>
      <c r="F20" s="2"/>
      <c r="G20" s="2"/>
      <c r="H20" s="2"/>
      <c r="I20" s="47"/>
      <c r="J20" s="411"/>
      <c r="K20" s="412"/>
      <c r="L20" s="110"/>
      <c r="M20" s="19"/>
      <c r="N20" s="2"/>
      <c r="O20" s="2"/>
      <c r="P20" s="411"/>
      <c r="Q20" s="411"/>
      <c r="R20" s="2"/>
      <c r="S20" s="2"/>
      <c r="T20" s="2"/>
      <c r="U20" s="2"/>
      <c r="V20" s="411"/>
      <c r="W20" s="412"/>
    </row>
    <row r="21" spans="1:44" s="29" customFormat="1" x14ac:dyDescent="0.25">
      <c r="A21" s="24"/>
      <c r="B21" s="713" t="s">
        <v>7</v>
      </c>
      <c r="C21" s="713"/>
      <c r="D21" s="713" t="s">
        <v>16</v>
      </c>
      <c r="E21" s="714"/>
      <c r="F21" s="25"/>
      <c r="G21" s="26"/>
      <c r="H21" s="715" t="s">
        <v>7</v>
      </c>
      <c r="I21" s="715"/>
      <c r="J21" s="715" t="s">
        <v>16</v>
      </c>
      <c r="K21" s="716"/>
      <c r="L21" s="111"/>
      <c r="M21" s="27"/>
      <c r="N21" s="786" t="s">
        <v>12</v>
      </c>
      <c r="O21" s="786"/>
      <c r="P21" s="786" t="s">
        <v>16</v>
      </c>
      <c r="Q21" s="787"/>
      <c r="R21" s="25"/>
      <c r="S21" s="28"/>
      <c r="T21" s="784" t="s">
        <v>12</v>
      </c>
      <c r="U21" s="784"/>
      <c r="V21" s="784" t="s">
        <v>16</v>
      </c>
      <c r="W21" s="785"/>
      <c r="Y21" s="1"/>
      <c r="Z21" s="1"/>
      <c r="AB21" s="1"/>
      <c r="AC21" s="1"/>
      <c r="AE21" s="1"/>
      <c r="AF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5">
      <c r="A22" s="30">
        <f>G19+$G$6+R5</f>
        <v>0.48611111111111116</v>
      </c>
      <c r="B22" s="31" t="str">
        <f>B8</f>
        <v>Equipe 1</v>
      </c>
      <c r="C22" s="31" t="str">
        <f>B11</f>
        <v>Equipe 4</v>
      </c>
      <c r="D22" s="53"/>
      <c r="E22" s="54"/>
      <c r="F22" s="2"/>
      <c r="G22" s="32">
        <f>A23+$G$6+R5</f>
        <v>0.51388888888888895</v>
      </c>
      <c r="H22" s="33" t="str">
        <f>H8</f>
        <v>Equipe 5</v>
      </c>
      <c r="I22" s="33" t="str">
        <f>H11</f>
        <v>Equipe 8</v>
      </c>
      <c r="J22" s="57"/>
      <c r="K22" s="58"/>
      <c r="L22" s="110"/>
      <c r="M22" s="34">
        <f>S19+$S$6+R5</f>
        <v>0.67361111111111072</v>
      </c>
      <c r="N22" s="35" t="str">
        <f>N8</f>
        <v>4eme A</v>
      </c>
      <c r="O22" s="35" t="str">
        <f>N11</f>
        <v>4eme B</v>
      </c>
      <c r="P22" s="61"/>
      <c r="Q22" s="62"/>
      <c r="R22" s="2"/>
      <c r="S22" s="36">
        <f>M23+$S$6+R5</f>
        <v>0.7013888888888884</v>
      </c>
      <c r="T22" s="37" t="str">
        <f>T8</f>
        <v>2eme A</v>
      </c>
      <c r="U22" s="37" t="str">
        <f>T11</f>
        <v>2eme B</v>
      </c>
      <c r="V22" s="65"/>
      <c r="W22" s="66"/>
      <c r="Y22" s="1">
        <f t="shared" si="0"/>
        <v>0</v>
      </c>
      <c r="Z22" s="1">
        <f t="shared" si="1"/>
        <v>0</v>
      </c>
      <c r="AE22" s="1">
        <f t="shared" si="2"/>
        <v>0</v>
      </c>
      <c r="AF22" s="1">
        <f t="shared" si="3"/>
        <v>0</v>
      </c>
      <c r="AK22" s="1">
        <f t="shared" si="4"/>
        <v>0</v>
      </c>
      <c r="AL22" s="1">
        <f t="shared" si="5"/>
        <v>0</v>
      </c>
      <c r="AQ22" s="1">
        <f t="shared" si="6"/>
        <v>0</v>
      </c>
      <c r="AR22" s="1">
        <f t="shared" si="7"/>
        <v>0</v>
      </c>
    </row>
    <row r="23" spans="1:44" ht="15.75" thickBot="1" x14ac:dyDescent="0.3">
      <c r="A23" s="38">
        <f>A22+$G$6+R5</f>
        <v>0.50000000000000011</v>
      </c>
      <c r="B23" s="39" t="str">
        <f>B9</f>
        <v>Equipe 2</v>
      </c>
      <c r="C23" s="39" t="str">
        <f>B10</f>
        <v>Equipe 3</v>
      </c>
      <c r="D23" s="55"/>
      <c r="E23" s="56"/>
      <c r="F23" s="47"/>
      <c r="G23" s="40">
        <f>G22+$G$6+R5</f>
        <v>0.52777777777777779</v>
      </c>
      <c r="H23" s="41" t="str">
        <f>H9</f>
        <v>Equipe 6</v>
      </c>
      <c r="I23" s="41" t="str">
        <f>H10</f>
        <v>Equipe 7</v>
      </c>
      <c r="J23" s="59"/>
      <c r="K23" s="60"/>
      <c r="L23" s="110"/>
      <c r="M23" s="42">
        <f>M22+$S$6+R5</f>
        <v>0.68749999999999956</v>
      </c>
      <c r="N23" s="43" t="str">
        <f>N9</f>
        <v>3eme B</v>
      </c>
      <c r="O23" s="43" t="str">
        <f>N10</f>
        <v>3eme A</v>
      </c>
      <c r="P23" s="63"/>
      <c r="Q23" s="64"/>
      <c r="R23" s="47"/>
      <c r="S23" s="44">
        <f>S22+$S$6+R5</f>
        <v>0.71527777777777724</v>
      </c>
      <c r="T23" s="45" t="str">
        <f>T9</f>
        <v>1er B</v>
      </c>
      <c r="U23" s="45" t="str">
        <f>T10</f>
        <v>1er A</v>
      </c>
      <c r="V23" s="67"/>
      <c r="W23" s="68"/>
      <c r="Y23" s="1">
        <f t="shared" si="0"/>
        <v>0</v>
      </c>
      <c r="Z23" s="1">
        <f t="shared" si="1"/>
        <v>0</v>
      </c>
      <c r="AE23" s="1">
        <f t="shared" si="2"/>
        <v>0</v>
      </c>
      <c r="AF23" s="1">
        <f t="shared" si="3"/>
        <v>0</v>
      </c>
      <c r="AK23" s="1">
        <f t="shared" si="4"/>
        <v>0</v>
      </c>
      <c r="AL23" s="1">
        <f t="shared" si="5"/>
        <v>0</v>
      </c>
      <c r="AQ23" s="1">
        <f t="shared" si="6"/>
        <v>0</v>
      </c>
      <c r="AR23" s="1">
        <f t="shared" si="7"/>
        <v>0</v>
      </c>
    </row>
    <row r="24" spans="1:44" ht="15.75" thickBot="1" x14ac:dyDescent="0.3">
      <c r="A24" s="106"/>
      <c r="B24" s="20"/>
      <c r="C24" s="20"/>
      <c r="D24" s="20"/>
      <c r="E24" s="20"/>
      <c r="F24" s="20"/>
      <c r="G24" s="20"/>
      <c r="H24" s="20"/>
      <c r="I24" s="20"/>
      <c r="J24" s="20"/>
      <c r="K24" s="107"/>
      <c r="L24" s="110"/>
      <c r="M24" s="106"/>
      <c r="N24" s="20"/>
      <c r="O24" s="20"/>
      <c r="P24" s="20"/>
      <c r="Q24" s="20"/>
      <c r="R24" s="20"/>
      <c r="S24" s="20"/>
      <c r="T24" s="20"/>
      <c r="U24" s="20"/>
      <c r="V24" s="20"/>
      <c r="W24" s="107"/>
      <c r="Y24" s="1" t="str">
        <f t="shared" ref="Y24" si="8">IF(D24="","",(IF(D24&gt;E24,3,IF(D24=E24,1,0))))</f>
        <v/>
      </c>
    </row>
    <row r="25" spans="1:44" ht="16.5" thickBot="1" x14ac:dyDescent="0.3">
      <c r="A25" s="865" t="s">
        <v>60</v>
      </c>
      <c r="B25" s="866"/>
      <c r="C25" s="866"/>
      <c r="D25" s="866"/>
      <c r="E25" s="866"/>
      <c r="F25" s="866"/>
      <c r="G25" s="866"/>
      <c r="H25" s="866"/>
      <c r="I25" s="866"/>
      <c r="J25" s="866"/>
      <c r="K25" s="867"/>
      <c r="L25" s="110"/>
      <c r="M25" s="869" t="s">
        <v>47</v>
      </c>
      <c r="N25" s="866"/>
      <c r="O25" s="866"/>
      <c r="P25" s="866"/>
      <c r="Q25" s="866"/>
      <c r="R25" s="866"/>
      <c r="S25" s="866"/>
      <c r="T25" s="866"/>
      <c r="U25" s="866"/>
      <c r="V25" s="866"/>
      <c r="W25" s="870"/>
    </row>
    <row r="26" spans="1:44" x14ac:dyDescent="0.25">
      <c r="A26" s="81" t="s">
        <v>21</v>
      </c>
      <c r="B26" s="711" t="s">
        <v>41</v>
      </c>
      <c r="C26" s="711"/>
      <c r="D26" s="711" t="s">
        <v>15</v>
      </c>
      <c r="E26" s="712"/>
      <c r="F26" s="773"/>
      <c r="G26" s="81" t="s">
        <v>21</v>
      </c>
      <c r="H26" s="711" t="s">
        <v>42</v>
      </c>
      <c r="I26" s="711"/>
      <c r="J26" s="711" t="s">
        <v>15</v>
      </c>
      <c r="K26" s="712"/>
      <c r="L26" s="110"/>
      <c r="M26" s="81" t="s">
        <v>21</v>
      </c>
      <c r="N26" s="711" t="s">
        <v>30</v>
      </c>
      <c r="O26" s="711"/>
      <c r="P26" s="711" t="s">
        <v>15</v>
      </c>
      <c r="Q26" s="712"/>
      <c r="R26" s="773"/>
      <c r="S26" s="81" t="s">
        <v>21</v>
      </c>
      <c r="T26" s="711" t="s">
        <v>31</v>
      </c>
      <c r="U26" s="711"/>
      <c r="V26" s="711" t="s">
        <v>15</v>
      </c>
      <c r="W26" s="712"/>
    </row>
    <row r="27" spans="1:44" x14ac:dyDescent="0.25">
      <c r="A27" s="49">
        <v>1</v>
      </c>
      <c r="B27" s="680" t="str">
        <f>VLOOKUP($A27,$A$34:$D$37,2,FALSE)</f>
        <v>Equipe 1</v>
      </c>
      <c r="C27" s="680"/>
      <c r="D27" s="683">
        <f>VLOOKUP($A27,$A$34:$D$37,4,FALSE)</f>
        <v>3.9999999999999998E-7</v>
      </c>
      <c r="E27" s="684"/>
      <c r="F27" s="774"/>
      <c r="G27" s="49">
        <v>1</v>
      </c>
      <c r="H27" s="680" t="str">
        <f>VLOOKUP($G27,$G$34:$J$37,2,FALSE)</f>
        <v>Equipe 5</v>
      </c>
      <c r="I27" s="680"/>
      <c r="J27" s="683">
        <f>VLOOKUP($G27,$G$34:$J$37,4,FALSE)</f>
        <v>3.9999999999999998E-7</v>
      </c>
      <c r="K27" s="684"/>
      <c r="L27" s="110"/>
      <c r="M27" s="49">
        <v>1</v>
      </c>
      <c r="N27" s="680" t="str">
        <f>VLOOKUP($M27,$M$34:$P$37,2,FALSE)</f>
        <v>4eme A</v>
      </c>
      <c r="O27" s="680"/>
      <c r="P27" s="683">
        <f>VLOOKUP($M27,$M$34:$P$37,4,FALSE)</f>
        <v>3.9999999999999998E-7</v>
      </c>
      <c r="Q27" s="684"/>
      <c r="R27" s="774"/>
      <c r="S27" s="49">
        <v>1</v>
      </c>
      <c r="T27" s="680" t="str">
        <f>VLOOKUP($S27,$S$34:$V$37,2,FALSE)</f>
        <v>2eme A</v>
      </c>
      <c r="U27" s="680"/>
      <c r="V27" s="683">
        <f>VLOOKUP($S27,$S$34:$V$37,4,FALSE)</f>
        <v>3.9999999999999998E-7</v>
      </c>
      <c r="W27" s="684"/>
    </row>
    <row r="28" spans="1:44" x14ac:dyDescent="0.25">
      <c r="A28" s="49">
        <v>2</v>
      </c>
      <c r="B28" s="824" t="str">
        <f>VLOOKUP($A28,$A$34:$D$37,2,FALSE)</f>
        <v>Equipe 2</v>
      </c>
      <c r="C28" s="825"/>
      <c r="D28" s="683">
        <f>VLOOKUP($A28,$A$34:$D$37,4,FALSE)</f>
        <v>2.9999999999999999E-7</v>
      </c>
      <c r="E28" s="684"/>
      <c r="F28" s="774"/>
      <c r="G28" s="49">
        <v>2</v>
      </c>
      <c r="H28" s="680" t="str">
        <f t="shared" ref="H28:H30" si="9">VLOOKUP($G28,$G$34:$J$37,2,FALSE)</f>
        <v>Equipe 6</v>
      </c>
      <c r="I28" s="680"/>
      <c r="J28" s="683">
        <f t="shared" ref="J28:J30" si="10">VLOOKUP($G28,$G$34:$J$37,4,FALSE)</f>
        <v>2.9999999999999999E-7</v>
      </c>
      <c r="K28" s="684"/>
      <c r="L28" s="110"/>
      <c r="M28" s="49">
        <v>2</v>
      </c>
      <c r="N28" s="680" t="str">
        <f t="shared" ref="N28:N30" si="11">VLOOKUP($M28,$M$34:$P$37,2,FALSE)</f>
        <v>3eme B</v>
      </c>
      <c r="O28" s="680"/>
      <c r="P28" s="683">
        <f t="shared" ref="P28:P30" si="12">VLOOKUP($M28,$M$34:$P$37,4,FALSE)</f>
        <v>2.9999999999999999E-7</v>
      </c>
      <c r="Q28" s="684"/>
      <c r="R28" s="774"/>
      <c r="S28" s="49">
        <v>2</v>
      </c>
      <c r="T28" s="680" t="str">
        <f t="shared" ref="T28:T30" si="13">VLOOKUP($S28,$S$34:$V$37,2,FALSE)</f>
        <v>1er B</v>
      </c>
      <c r="U28" s="680"/>
      <c r="V28" s="683">
        <f t="shared" ref="V28:V30" si="14">VLOOKUP($S28,$S$34:$V$37,4,FALSE)</f>
        <v>2.9999999999999999E-7</v>
      </c>
      <c r="W28" s="684"/>
    </row>
    <row r="29" spans="1:44" x14ac:dyDescent="0.25">
      <c r="A29" s="49">
        <v>3</v>
      </c>
      <c r="B29" s="824" t="str">
        <f>VLOOKUP($A29,$A$34:$D$37,2,FALSE)</f>
        <v>Equipe 3</v>
      </c>
      <c r="C29" s="825"/>
      <c r="D29" s="683">
        <f>VLOOKUP($A29,$A$34:$D$37,4,FALSE)</f>
        <v>1.9999999999999999E-7</v>
      </c>
      <c r="E29" s="684"/>
      <c r="F29" s="774"/>
      <c r="G29" s="49">
        <v>3</v>
      </c>
      <c r="H29" s="680" t="str">
        <f t="shared" si="9"/>
        <v>Equipe 7</v>
      </c>
      <c r="I29" s="680"/>
      <c r="J29" s="683">
        <f t="shared" si="10"/>
        <v>1.9999999999999999E-7</v>
      </c>
      <c r="K29" s="684"/>
      <c r="L29" s="110"/>
      <c r="M29" s="49">
        <v>3</v>
      </c>
      <c r="N29" s="680" t="str">
        <f t="shared" si="11"/>
        <v>3eme A</v>
      </c>
      <c r="O29" s="680"/>
      <c r="P29" s="683">
        <f t="shared" si="12"/>
        <v>1.9999999999999999E-7</v>
      </c>
      <c r="Q29" s="684"/>
      <c r="R29" s="774"/>
      <c r="S29" s="49">
        <v>3</v>
      </c>
      <c r="T29" s="680" t="str">
        <f t="shared" si="13"/>
        <v>1er A</v>
      </c>
      <c r="U29" s="680"/>
      <c r="V29" s="683">
        <f t="shared" si="14"/>
        <v>1.9999999999999999E-7</v>
      </c>
      <c r="W29" s="684"/>
    </row>
    <row r="30" spans="1:44" ht="15.75" thickBot="1" x14ac:dyDescent="0.3">
      <c r="A30" s="108">
        <v>4</v>
      </c>
      <c r="B30" s="841" t="str">
        <f>VLOOKUP($A30,$A$34:$D$37,2,FALSE)</f>
        <v>Equipe 4</v>
      </c>
      <c r="C30" s="842"/>
      <c r="D30" s="839">
        <f>VLOOKUP($A30,$A$34:$D$37,4,FALSE)</f>
        <v>9.9999999999999995E-8</v>
      </c>
      <c r="E30" s="840"/>
      <c r="F30" s="774"/>
      <c r="G30" s="108">
        <v>4</v>
      </c>
      <c r="H30" s="843" t="str">
        <f t="shared" si="9"/>
        <v>Equipe 8</v>
      </c>
      <c r="I30" s="843"/>
      <c r="J30" s="839">
        <f t="shared" si="10"/>
        <v>9.9999999999999995E-8</v>
      </c>
      <c r="K30" s="840"/>
      <c r="L30" s="110"/>
      <c r="M30" s="108">
        <v>4</v>
      </c>
      <c r="N30" s="843" t="str">
        <f t="shared" si="11"/>
        <v>4eme B</v>
      </c>
      <c r="O30" s="843"/>
      <c r="P30" s="839">
        <f t="shared" si="12"/>
        <v>9.9999999999999995E-8</v>
      </c>
      <c r="Q30" s="840"/>
      <c r="R30" s="774"/>
      <c r="S30" s="108">
        <v>4</v>
      </c>
      <c r="T30" s="843" t="str">
        <f t="shared" si="13"/>
        <v>2eme B</v>
      </c>
      <c r="U30" s="843"/>
      <c r="V30" s="839">
        <f t="shared" si="14"/>
        <v>9.9999999999999995E-8</v>
      </c>
      <c r="W30" s="840"/>
    </row>
    <row r="31" spans="1:44" ht="15.75" thickBot="1" x14ac:dyDescent="0.3">
      <c r="A31" s="768" t="s">
        <v>34</v>
      </c>
      <c r="B31" s="675"/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  <c r="T31" s="675"/>
      <c r="U31" s="675"/>
      <c r="V31" s="675"/>
      <c r="W31" s="676"/>
    </row>
    <row r="32" spans="1:44" ht="15.75" hidden="1" x14ac:dyDescent="0.25">
      <c r="A32" s="871" t="s">
        <v>14</v>
      </c>
      <c r="B32" s="871"/>
      <c r="C32" s="871"/>
      <c r="D32" s="871"/>
      <c r="E32" s="871"/>
      <c r="F32" s="871"/>
      <c r="G32" s="871"/>
      <c r="H32" s="871"/>
      <c r="I32" s="871"/>
      <c r="J32" s="871"/>
      <c r="K32" s="871"/>
      <c r="L32" s="51"/>
      <c r="M32" s="871" t="s">
        <v>14</v>
      </c>
      <c r="N32" s="871"/>
      <c r="O32" s="871"/>
      <c r="P32" s="871"/>
      <c r="Q32" s="871"/>
      <c r="R32" s="871"/>
      <c r="S32" s="871"/>
      <c r="T32" s="871"/>
      <c r="U32" s="871"/>
      <c r="V32" s="871"/>
      <c r="W32" s="871"/>
    </row>
    <row r="33" spans="1:23" hidden="1" x14ac:dyDescent="0.25">
      <c r="A33" s="52"/>
      <c r="B33" s="864" t="s">
        <v>1</v>
      </c>
      <c r="C33" s="864"/>
      <c r="D33" s="864" t="s">
        <v>15</v>
      </c>
      <c r="E33" s="864"/>
      <c r="F33" s="872"/>
      <c r="G33" s="52"/>
      <c r="H33" s="864" t="s">
        <v>2</v>
      </c>
      <c r="I33" s="864"/>
      <c r="J33" s="864" t="s">
        <v>15</v>
      </c>
      <c r="K33" s="864"/>
      <c r="L33" s="51"/>
      <c r="M33" s="52"/>
      <c r="N33" s="864" t="s">
        <v>1</v>
      </c>
      <c r="O33" s="864"/>
      <c r="P33" s="864" t="s">
        <v>15</v>
      </c>
      <c r="Q33" s="864"/>
      <c r="R33" s="872"/>
      <c r="S33" s="52"/>
      <c r="T33" s="864" t="s">
        <v>2</v>
      </c>
      <c r="U33" s="864"/>
      <c r="V33" s="864" t="s">
        <v>15</v>
      </c>
      <c r="W33" s="864"/>
    </row>
    <row r="34" spans="1:23" hidden="1" x14ac:dyDescent="0.25">
      <c r="A34" s="70">
        <f>RANK(D34,$D$34:$D$37)</f>
        <v>1</v>
      </c>
      <c r="B34" s="69" t="str">
        <f>B8</f>
        <v>Equipe 1</v>
      </c>
      <c r="C34" s="69">
        <f>D14-E14+D18-E18+D22-E22</f>
        <v>0</v>
      </c>
      <c r="D34" s="681">
        <f>D8+4/10000000</f>
        <v>3.9999999999999998E-7</v>
      </c>
      <c r="E34" s="681"/>
      <c r="F34" s="873"/>
      <c r="G34" s="70">
        <f>RANK(J34,$J$34:$J$37)</f>
        <v>1</v>
      </c>
      <c r="H34" s="69" t="str">
        <f>H8</f>
        <v>Equipe 5</v>
      </c>
      <c r="I34" s="69">
        <f>J14-K14+J18-K18+J22-K22</f>
        <v>0</v>
      </c>
      <c r="J34" s="681">
        <f>J8+4/10000000</f>
        <v>3.9999999999999998E-7</v>
      </c>
      <c r="K34" s="681"/>
      <c r="L34" s="51"/>
      <c r="M34" s="70">
        <f>RANK(P34,$P$34:$P$37)</f>
        <v>1</v>
      </c>
      <c r="N34" s="69" t="str">
        <f>N8</f>
        <v>4eme A</v>
      </c>
      <c r="O34" s="69">
        <f>P14-Q14+P18-Q18+P22-Q22</f>
        <v>0</v>
      </c>
      <c r="P34" s="681">
        <f>P8+4/10000000</f>
        <v>3.9999999999999998E-7</v>
      </c>
      <c r="Q34" s="681"/>
      <c r="R34" s="873"/>
      <c r="S34" s="70">
        <f>RANK(V34,$V$34:$V$37)</f>
        <v>1</v>
      </c>
      <c r="T34" s="69" t="str">
        <f>T8</f>
        <v>2eme A</v>
      </c>
      <c r="U34" s="69">
        <f>V14-W14+V18-W18+V22-W22</f>
        <v>0</v>
      </c>
      <c r="V34" s="681">
        <f>V8+4/10000000</f>
        <v>3.9999999999999998E-7</v>
      </c>
      <c r="W34" s="681"/>
    </row>
    <row r="35" spans="1:23" hidden="1" x14ac:dyDescent="0.25">
      <c r="A35" s="70">
        <f t="shared" ref="A35:A37" si="15">RANK(D35,$D$34:$D$37)</f>
        <v>2</v>
      </c>
      <c r="B35" s="69" t="str">
        <f>B9</f>
        <v>Equipe 2</v>
      </c>
      <c r="C35" s="69">
        <f>E14-D14+D19-E19+D23-E23</f>
        <v>0</v>
      </c>
      <c r="D35" s="681">
        <f>D9+3/10000000</f>
        <v>2.9999999999999999E-7</v>
      </c>
      <c r="E35" s="681"/>
      <c r="F35" s="873"/>
      <c r="G35" s="70">
        <f t="shared" ref="G35:G37" si="16">RANK(J35,$J$34:$J$37)</f>
        <v>2</v>
      </c>
      <c r="H35" s="69" t="str">
        <f>H9</f>
        <v>Equipe 6</v>
      </c>
      <c r="I35" s="69">
        <f>K14-J14+J19-K19+J23-K23</f>
        <v>0</v>
      </c>
      <c r="J35" s="681">
        <f>J9+3/10000000</f>
        <v>2.9999999999999999E-7</v>
      </c>
      <c r="K35" s="681"/>
      <c r="L35" s="51"/>
      <c r="M35" s="70">
        <f t="shared" ref="M35:M37" si="17">RANK(P35,$P$34:$P$37)</f>
        <v>2</v>
      </c>
      <c r="N35" s="69" t="str">
        <f>N9</f>
        <v>3eme B</v>
      </c>
      <c r="O35" s="69">
        <f>Q14-P14+P19-Q19+P23-Q23</f>
        <v>0</v>
      </c>
      <c r="P35" s="681">
        <f>P9+3/10000000</f>
        <v>2.9999999999999999E-7</v>
      </c>
      <c r="Q35" s="681"/>
      <c r="R35" s="873"/>
      <c r="S35" s="70">
        <f t="shared" ref="S35:S37" si="18">RANK(V35,$V$34:$V$37)</f>
        <v>2</v>
      </c>
      <c r="T35" s="69" t="str">
        <f>T9</f>
        <v>1er B</v>
      </c>
      <c r="U35" s="69">
        <f>W14-V14+V19-W19+V23-W23</f>
        <v>0</v>
      </c>
      <c r="V35" s="681">
        <f>V9+3/10000000</f>
        <v>2.9999999999999999E-7</v>
      </c>
      <c r="W35" s="681"/>
    </row>
    <row r="36" spans="1:23" hidden="1" x14ac:dyDescent="0.25">
      <c r="A36" s="70">
        <f t="shared" si="15"/>
        <v>3</v>
      </c>
      <c r="B36" s="69" t="str">
        <f>B10</f>
        <v>Equipe 3</v>
      </c>
      <c r="C36" s="69">
        <f>D15-E15+E18-D18+E23-D23</f>
        <v>0</v>
      </c>
      <c r="D36" s="681">
        <f>D10+2/10000000</f>
        <v>1.9999999999999999E-7</v>
      </c>
      <c r="E36" s="681"/>
      <c r="F36" s="873"/>
      <c r="G36" s="70">
        <f t="shared" si="16"/>
        <v>3</v>
      </c>
      <c r="H36" s="69" t="str">
        <f>H10</f>
        <v>Equipe 7</v>
      </c>
      <c r="I36" s="69">
        <f>J15-K15+K18-J18+K23-J23</f>
        <v>0</v>
      </c>
      <c r="J36" s="681">
        <f>J10+2/10000000</f>
        <v>1.9999999999999999E-7</v>
      </c>
      <c r="K36" s="681"/>
      <c r="L36" s="51"/>
      <c r="M36" s="70">
        <f t="shared" si="17"/>
        <v>3</v>
      </c>
      <c r="N36" s="69" t="str">
        <f>N10</f>
        <v>3eme A</v>
      </c>
      <c r="O36" s="69">
        <f>P15-Q15+Q18-P18+Q23-P23</f>
        <v>0</v>
      </c>
      <c r="P36" s="681">
        <f>P10+2/10000000</f>
        <v>1.9999999999999999E-7</v>
      </c>
      <c r="Q36" s="681"/>
      <c r="R36" s="873"/>
      <c r="S36" s="70">
        <f t="shared" si="18"/>
        <v>3</v>
      </c>
      <c r="T36" s="69" t="str">
        <f>T10</f>
        <v>1er A</v>
      </c>
      <c r="U36" s="69">
        <f>V15-W15+W18-V18+W23-V23</f>
        <v>0</v>
      </c>
      <c r="V36" s="681">
        <f>V10+2/10000000</f>
        <v>1.9999999999999999E-7</v>
      </c>
      <c r="W36" s="681"/>
    </row>
    <row r="37" spans="1:23" hidden="1" x14ac:dyDescent="0.25">
      <c r="A37" s="70">
        <f t="shared" si="15"/>
        <v>4</v>
      </c>
      <c r="B37" s="69" t="str">
        <f>B11</f>
        <v>Equipe 4</v>
      </c>
      <c r="C37" s="69">
        <f>E15-D15+E19-D19+E22-D22</f>
        <v>0</v>
      </c>
      <c r="D37" s="681">
        <f t="shared" ref="D37" si="19">D11+1/10000000</f>
        <v>9.9999999999999995E-8</v>
      </c>
      <c r="E37" s="681"/>
      <c r="F37" s="874"/>
      <c r="G37" s="70">
        <f t="shared" si="16"/>
        <v>4</v>
      </c>
      <c r="H37" s="69" t="str">
        <f>H11</f>
        <v>Equipe 8</v>
      </c>
      <c r="I37" s="69">
        <f>K15-J15+K19-J19+K22-J22</f>
        <v>0</v>
      </c>
      <c r="J37" s="681">
        <f t="shared" ref="J37" si="20">J11+1/10000000</f>
        <v>9.9999999999999995E-8</v>
      </c>
      <c r="K37" s="681"/>
      <c r="L37" s="51"/>
      <c r="M37" s="70">
        <f t="shared" si="17"/>
        <v>4</v>
      </c>
      <c r="N37" s="69" t="str">
        <f>N11</f>
        <v>4eme B</v>
      </c>
      <c r="O37" s="69">
        <f>Q15-P15+Q19-P19+Q22-P22</f>
        <v>0</v>
      </c>
      <c r="P37" s="681">
        <f t="shared" ref="P37" si="21">P11+1/10000000</f>
        <v>9.9999999999999995E-8</v>
      </c>
      <c r="Q37" s="681"/>
      <c r="R37" s="874"/>
      <c r="S37" s="70">
        <f t="shared" si="18"/>
        <v>4</v>
      </c>
      <c r="T37" s="69" t="str">
        <f>T11</f>
        <v>2eme B</v>
      </c>
      <c r="U37" s="69">
        <f>W15-V15+W19-V19+W22-V22</f>
        <v>0</v>
      </c>
      <c r="V37" s="681">
        <f t="shared" ref="V37" si="22">V11+1/10000000</f>
        <v>9.9999999999999995E-8</v>
      </c>
      <c r="W37" s="681"/>
    </row>
    <row r="38" spans="1:23" x14ac:dyDescent="0.25">
      <c r="A38" s="875" t="s">
        <v>234</v>
      </c>
      <c r="B38" s="875"/>
      <c r="C38" s="875"/>
      <c r="D38" s="875"/>
      <c r="E38" s="875"/>
      <c r="F38" s="875"/>
      <c r="G38" s="875"/>
      <c r="H38" s="875"/>
      <c r="I38" s="875"/>
      <c r="J38" s="875"/>
      <c r="K38" s="875"/>
      <c r="L38" s="875"/>
      <c r="M38" s="875"/>
      <c r="N38" s="875"/>
      <c r="O38" s="875"/>
      <c r="P38" s="875"/>
      <c r="Q38" s="875"/>
      <c r="R38" s="875"/>
      <c r="S38" s="875"/>
      <c r="T38" s="875"/>
      <c r="U38" s="875"/>
      <c r="V38" s="875"/>
      <c r="W38" s="875"/>
    </row>
  </sheetData>
  <sheetProtection sheet="1" scenarios="1" selectLockedCells="1"/>
  <mergeCells count="152">
    <mergeCell ref="V34:W34"/>
    <mergeCell ref="D35:E35"/>
    <mergeCell ref="D37:E37"/>
    <mergeCell ref="J37:K37"/>
    <mergeCell ref="P37:Q37"/>
    <mergeCell ref="V37:W37"/>
    <mergeCell ref="A38:W38"/>
    <mergeCell ref="J35:K35"/>
    <mergeCell ref="P35:Q35"/>
    <mergeCell ref="V35:W35"/>
    <mergeCell ref="D36:E36"/>
    <mergeCell ref="J36:K36"/>
    <mergeCell ref="P36:Q36"/>
    <mergeCell ref="V36:W36"/>
    <mergeCell ref="T30:U30"/>
    <mergeCell ref="V30:W30"/>
    <mergeCell ref="A31:W31"/>
    <mergeCell ref="A32:K32"/>
    <mergeCell ref="M32:W32"/>
    <mergeCell ref="B33:C33"/>
    <mergeCell ref="D33:E33"/>
    <mergeCell ref="F33:F37"/>
    <mergeCell ref="H33:I33"/>
    <mergeCell ref="J33:K33"/>
    <mergeCell ref="B30:C30"/>
    <mergeCell ref="D30:E30"/>
    <mergeCell ref="H30:I30"/>
    <mergeCell ref="J30:K30"/>
    <mergeCell ref="N30:O30"/>
    <mergeCell ref="P30:Q30"/>
    <mergeCell ref="N33:O33"/>
    <mergeCell ref="P33:Q33"/>
    <mergeCell ref="R33:R37"/>
    <mergeCell ref="T33:U33"/>
    <mergeCell ref="V33:W33"/>
    <mergeCell ref="D34:E34"/>
    <mergeCell ref="J34:K34"/>
    <mergeCell ref="P34:Q34"/>
    <mergeCell ref="H29:I29"/>
    <mergeCell ref="J29:K29"/>
    <mergeCell ref="N29:O29"/>
    <mergeCell ref="P29:Q29"/>
    <mergeCell ref="T29:U29"/>
    <mergeCell ref="V29:W29"/>
    <mergeCell ref="B28:C28"/>
    <mergeCell ref="D28:E28"/>
    <mergeCell ref="H28:I28"/>
    <mergeCell ref="J28:K28"/>
    <mergeCell ref="N28:O28"/>
    <mergeCell ref="P28:Q28"/>
    <mergeCell ref="A25:K25"/>
    <mergeCell ref="M25:W25"/>
    <mergeCell ref="B26:C26"/>
    <mergeCell ref="D26:E26"/>
    <mergeCell ref="F26:F30"/>
    <mergeCell ref="H26:I26"/>
    <mergeCell ref="J26:K26"/>
    <mergeCell ref="N26:O26"/>
    <mergeCell ref="P26:Q26"/>
    <mergeCell ref="R26:R30"/>
    <mergeCell ref="T26:U26"/>
    <mergeCell ref="V26:W26"/>
    <mergeCell ref="B27:C27"/>
    <mergeCell ref="D27:E27"/>
    <mergeCell ref="H27:I27"/>
    <mergeCell ref="J27:K27"/>
    <mergeCell ref="N27:O27"/>
    <mergeCell ref="P27:Q27"/>
    <mergeCell ref="T27:U27"/>
    <mergeCell ref="V27:W27"/>
    <mergeCell ref="T28:U28"/>
    <mergeCell ref="V28:W28"/>
    <mergeCell ref="B29:C29"/>
    <mergeCell ref="D29:E29"/>
    <mergeCell ref="T17:U17"/>
    <mergeCell ref="V17:W17"/>
    <mergeCell ref="B21:C21"/>
    <mergeCell ref="D21:E21"/>
    <mergeCell ref="H21:I21"/>
    <mergeCell ref="J21:K21"/>
    <mergeCell ref="N21:O21"/>
    <mergeCell ref="P21:Q21"/>
    <mergeCell ref="T21:U21"/>
    <mergeCell ref="V21:W21"/>
    <mergeCell ref="B17:C17"/>
    <mergeCell ref="D17:E17"/>
    <mergeCell ref="H17:I17"/>
    <mergeCell ref="J17:K17"/>
    <mergeCell ref="N17:O17"/>
    <mergeCell ref="P17:Q17"/>
    <mergeCell ref="T11:U11"/>
    <mergeCell ref="V11:W11"/>
    <mergeCell ref="B13:C13"/>
    <mergeCell ref="D13:E13"/>
    <mergeCell ref="H13:I13"/>
    <mergeCell ref="J13:K13"/>
    <mergeCell ref="N13:O13"/>
    <mergeCell ref="P13:Q13"/>
    <mergeCell ref="T13:U13"/>
    <mergeCell ref="V13:W13"/>
    <mergeCell ref="B11:C11"/>
    <mergeCell ref="D11:E11"/>
    <mergeCell ref="H11:I11"/>
    <mergeCell ref="J11:K11"/>
    <mergeCell ref="N11:O11"/>
    <mergeCell ref="P11:Q11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T7:U7"/>
    <mergeCell ref="V7:W7"/>
    <mergeCell ref="B8:C8"/>
    <mergeCell ref="D8:E8"/>
    <mergeCell ref="H8:I8"/>
    <mergeCell ref="J8:K8"/>
    <mergeCell ref="N8:O8"/>
    <mergeCell ref="P8:Q8"/>
    <mergeCell ref="T8:U8"/>
    <mergeCell ref="V8:W8"/>
    <mergeCell ref="B7:C7"/>
    <mergeCell ref="D7:E7"/>
    <mergeCell ref="H7:I7"/>
    <mergeCell ref="J7:K7"/>
    <mergeCell ref="N7:O7"/>
    <mergeCell ref="P7:Q7"/>
    <mergeCell ref="A6:C6"/>
    <mergeCell ref="D6:F6"/>
    <mergeCell ref="G6:H6"/>
    <mergeCell ref="M6:O6"/>
    <mergeCell ref="P6:R6"/>
    <mergeCell ref="S6:T6"/>
    <mergeCell ref="A1:T1"/>
    <mergeCell ref="U1:W5"/>
    <mergeCell ref="A3:I3"/>
    <mergeCell ref="E4:G4"/>
    <mergeCell ref="L4:M4"/>
    <mergeCell ref="E5:G5"/>
    <mergeCell ref="L5:M5"/>
    <mergeCell ref="R5:S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7" orientation="landscape" horizontalDpi="300" verticalDpi="300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W76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245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690"/>
      <c r="V1" s="691"/>
      <c r="W1" s="692"/>
    </row>
    <row r="2" spans="1:23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693"/>
      <c r="V2" s="694"/>
      <c r="W2" s="695"/>
    </row>
    <row r="3" spans="1:23" ht="24.95" customHeight="1" thickBot="1" x14ac:dyDescent="0.3">
      <c r="A3" s="736" t="s">
        <v>0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693"/>
      <c r="V3" s="694"/>
      <c r="W3" s="695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408"/>
      <c r="I4" s="741" t="s">
        <v>53</v>
      </c>
      <c r="J4" s="741"/>
      <c r="K4" s="741"/>
      <c r="L4" s="742">
        <f>(3*J6)+(2*J25)</f>
        <v>5.2083333333333329E-2</v>
      </c>
      <c r="M4" s="742"/>
      <c r="N4" s="264" t="s">
        <v>33</v>
      </c>
      <c r="O4" s="319"/>
      <c r="P4" s="200"/>
      <c r="Q4" s="200"/>
      <c r="R4" s="200"/>
      <c r="S4" s="200"/>
      <c r="T4" s="201"/>
      <c r="U4" s="693"/>
      <c r="V4" s="694"/>
      <c r="W4" s="695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S34-A14+J25+"00:02"</f>
        <v>0.24791666666666648</v>
      </c>
      <c r="F5" s="810"/>
      <c r="G5" s="810"/>
      <c r="H5" s="215"/>
      <c r="I5" s="216" t="s">
        <v>79</v>
      </c>
      <c r="J5" s="216"/>
      <c r="K5" s="216"/>
      <c r="L5" s="687">
        <v>4.1666666666666664E-2</v>
      </c>
      <c r="M5" s="688"/>
      <c r="N5" s="215"/>
      <c r="O5" s="216" t="s">
        <v>242</v>
      </c>
      <c r="P5" s="216"/>
      <c r="Q5" s="216"/>
      <c r="R5" s="687">
        <v>3.472222222222222E-3</v>
      </c>
      <c r="S5" s="688"/>
      <c r="T5" s="320"/>
      <c r="U5" s="696"/>
      <c r="V5" s="697"/>
      <c r="W5" s="698"/>
    </row>
    <row r="6" spans="1:23" ht="16.5" thickBot="1" x14ac:dyDescent="0.3">
      <c r="A6" s="701" t="s">
        <v>35</v>
      </c>
      <c r="B6" s="685"/>
      <c r="C6" s="685"/>
      <c r="D6" s="685"/>
      <c r="E6" s="685"/>
      <c r="F6" s="685"/>
      <c r="G6" s="685"/>
      <c r="H6" s="685"/>
      <c r="I6" s="410" t="s">
        <v>18</v>
      </c>
      <c r="J6" s="782">
        <v>1.0416666666666666E-2</v>
      </c>
      <c r="K6" s="782"/>
      <c r="L6" s="782"/>
      <c r="M6" s="425" t="s">
        <v>17</v>
      </c>
      <c r="N6" s="410"/>
      <c r="O6" s="410"/>
      <c r="P6" s="868"/>
      <c r="Q6" s="890"/>
      <c r="R6" s="22"/>
      <c r="S6" s="891" t="s">
        <v>60</v>
      </c>
      <c r="T6" s="892"/>
      <c r="U6" s="892"/>
      <c r="V6" s="892"/>
      <c r="W6" s="893"/>
    </row>
    <row r="7" spans="1:23" x14ac:dyDescent="0.25">
      <c r="A7" s="6"/>
      <c r="B7" s="744" t="s">
        <v>41</v>
      </c>
      <c r="C7" s="745"/>
      <c r="D7" s="744" t="s">
        <v>15</v>
      </c>
      <c r="E7" s="746"/>
      <c r="F7" s="102"/>
      <c r="G7" s="7"/>
      <c r="H7" s="747" t="s">
        <v>42</v>
      </c>
      <c r="I7" s="748"/>
      <c r="J7" s="747" t="s">
        <v>15</v>
      </c>
      <c r="K7" s="749"/>
      <c r="L7" s="76"/>
      <c r="M7" s="8"/>
      <c r="N7" s="804" t="s">
        <v>43</v>
      </c>
      <c r="O7" s="805"/>
      <c r="P7" s="804" t="s">
        <v>15</v>
      </c>
      <c r="Q7" s="806"/>
      <c r="R7" s="2"/>
      <c r="S7" s="81" t="s">
        <v>21</v>
      </c>
      <c r="T7" s="711" t="s">
        <v>41</v>
      </c>
      <c r="U7" s="711"/>
      <c r="V7" s="711" t="s">
        <v>15</v>
      </c>
      <c r="W7" s="712"/>
    </row>
    <row r="8" spans="1:23" x14ac:dyDescent="0.25">
      <c r="A8" s="10">
        <v>1</v>
      </c>
      <c r="B8" s="731" t="s">
        <v>22</v>
      </c>
      <c r="C8" s="732"/>
      <c r="D8" s="725">
        <f>A55+A59+A63+C45/1000000</f>
        <v>0</v>
      </c>
      <c r="E8" s="726"/>
      <c r="F8" s="103"/>
      <c r="G8" s="11">
        <v>1</v>
      </c>
      <c r="H8" s="727" t="s">
        <v>26</v>
      </c>
      <c r="I8" s="728"/>
      <c r="J8" s="729">
        <f>G55+G59+G63+I45/1000000</f>
        <v>0</v>
      </c>
      <c r="K8" s="730"/>
      <c r="L8" s="76"/>
      <c r="M8" s="12">
        <v>1</v>
      </c>
      <c r="N8" s="800" t="s">
        <v>37</v>
      </c>
      <c r="O8" s="801"/>
      <c r="P8" s="802">
        <f>M55+M59+M63+O45/1000000</f>
        <v>0</v>
      </c>
      <c r="Q8" s="803"/>
      <c r="R8" s="2"/>
      <c r="S8" s="49">
        <v>1</v>
      </c>
      <c r="T8" s="680" t="str">
        <f>VLOOKUP($S8,$A$45:$D$48,2,FALSE)</f>
        <v>Equipe 1</v>
      </c>
      <c r="U8" s="680"/>
      <c r="V8" s="681">
        <f>VLOOKUP($S8,$A$45:$D$48,4,FALSE)</f>
        <v>3.9999999999999998E-7</v>
      </c>
      <c r="W8" s="682"/>
    </row>
    <row r="9" spans="1:23" x14ac:dyDescent="0.25">
      <c r="A9" s="10">
        <v>2</v>
      </c>
      <c r="B9" s="731" t="s">
        <v>23</v>
      </c>
      <c r="C9" s="732"/>
      <c r="D9" s="725">
        <f>B55+A60+A64+C46/1000000</f>
        <v>0</v>
      </c>
      <c r="E9" s="726"/>
      <c r="F9" s="103"/>
      <c r="G9" s="11">
        <v>2</v>
      </c>
      <c r="H9" s="727" t="s">
        <v>27</v>
      </c>
      <c r="I9" s="728"/>
      <c r="J9" s="729">
        <f>H55+G60+G64+I46/1000000</f>
        <v>0</v>
      </c>
      <c r="K9" s="730"/>
      <c r="L9" s="76"/>
      <c r="M9" s="12">
        <v>2</v>
      </c>
      <c r="N9" s="800" t="s">
        <v>38</v>
      </c>
      <c r="O9" s="801"/>
      <c r="P9" s="802">
        <f>N55+M60+M64+O46/1000000</f>
        <v>0</v>
      </c>
      <c r="Q9" s="803"/>
      <c r="R9" s="2"/>
      <c r="S9" s="49">
        <v>2</v>
      </c>
      <c r="T9" s="680" t="str">
        <f t="shared" ref="T9:T11" si="0">VLOOKUP($S9,$A$45:$D$48,2,FALSE)</f>
        <v>Equipe 2</v>
      </c>
      <c r="U9" s="680"/>
      <c r="V9" s="681">
        <f t="shared" ref="V9:V11" si="1">VLOOKUP($S9,$A$45:$D$48,4,FALSE)</f>
        <v>2.9999999999999999E-7</v>
      </c>
      <c r="W9" s="682"/>
    </row>
    <row r="10" spans="1:23" x14ac:dyDescent="0.25">
      <c r="A10" s="10">
        <v>3</v>
      </c>
      <c r="B10" s="731" t="s">
        <v>24</v>
      </c>
      <c r="C10" s="732"/>
      <c r="D10" s="725">
        <f>A56+B59+B64+C47/1000000</f>
        <v>0</v>
      </c>
      <c r="E10" s="726"/>
      <c r="F10" s="103"/>
      <c r="G10" s="11">
        <v>3</v>
      </c>
      <c r="H10" s="727" t="s">
        <v>28</v>
      </c>
      <c r="I10" s="728"/>
      <c r="J10" s="729">
        <f>G56+H59+H64+I47/1000000</f>
        <v>0</v>
      </c>
      <c r="K10" s="730"/>
      <c r="L10" s="76"/>
      <c r="M10" s="12">
        <v>3</v>
      </c>
      <c r="N10" s="800" t="s">
        <v>39</v>
      </c>
      <c r="O10" s="801"/>
      <c r="P10" s="802">
        <f>M56+N59+N64+O47/1000000</f>
        <v>0</v>
      </c>
      <c r="Q10" s="803"/>
      <c r="R10" s="2"/>
      <c r="S10" s="49">
        <v>3</v>
      </c>
      <c r="T10" s="680" t="str">
        <f t="shared" si="0"/>
        <v>Equipe 3</v>
      </c>
      <c r="U10" s="680"/>
      <c r="V10" s="681">
        <f t="shared" si="1"/>
        <v>1.9999999999999999E-7</v>
      </c>
      <c r="W10" s="682"/>
    </row>
    <row r="11" spans="1:23" ht="15.75" thickBot="1" x14ac:dyDescent="0.3">
      <c r="A11" s="15">
        <v>4</v>
      </c>
      <c r="B11" s="717" t="s">
        <v>25</v>
      </c>
      <c r="C11" s="718"/>
      <c r="D11" s="719">
        <f>B56+B60+B63+C48/1000000</f>
        <v>0</v>
      </c>
      <c r="E11" s="720"/>
      <c r="F11" s="103"/>
      <c r="G11" s="16">
        <v>4</v>
      </c>
      <c r="H11" s="721" t="s">
        <v>29</v>
      </c>
      <c r="I11" s="722"/>
      <c r="J11" s="723">
        <f>H56+H60+H63+I48/1000000</f>
        <v>0</v>
      </c>
      <c r="K11" s="724"/>
      <c r="L11" s="76"/>
      <c r="M11" s="17">
        <v>4</v>
      </c>
      <c r="N11" s="792" t="s">
        <v>40</v>
      </c>
      <c r="O11" s="793"/>
      <c r="P11" s="794">
        <f>N56+N60+N63+O48/1000000</f>
        <v>0</v>
      </c>
      <c r="Q11" s="795"/>
      <c r="R11" s="2"/>
      <c r="S11" s="50">
        <v>4</v>
      </c>
      <c r="T11" s="706" t="str">
        <f t="shared" si="0"/>
        <v>Equipe 4</v>
      </c>
      <c r="U11" s="706"/>
      <c r="V11" s="709">
        <f t="shared" si="1"/>
        <v>9.9999999999999995E-8</v>
      </c>
      <c r="W11" s="710"/>
    </row>
    <row r="12" spans="1:23" ht="15.75" thickBot="1" x14ac:dyDescent="0.3">
      <c r="A12" s="19"/>
      <c r="B12" s="2"/>
      <c r="C12" s="2"/>
      <c r="D12" s="2"/>
      <c r="E12" s="2"/>
      <c r="F12" s="2"/>
      <c r="G12" s="2"/>
      <c r="H12" s="2"/>
      <c r="I12" s="22"/>
      <c r="J12" s="2"/>
      <c r="K12" s="2"/>
      <c r="L12" s="85"/>
      <c r="M12" s="2"/>
      <c r="N12" s="2"/>
      <c r="O12" s="2"/>
      <c r="P12" s="2"/>
      <c r="Q12" s="21"/>
      <c r="R12" s="2"/>
      <c r="S12" s="19"/>
      <c r="T12" s="2"/>
      <c r="U12" s="2"/>
      <c r="V12" s="2"/>
      <c r="W12" s="21"/>
    </row>
    <row r="13" spans="1:23" s="29" customFormat="1" x14ac:dyDescent="0.25">
      <c r="A13" s="24"/>
      <c r="B13" s="713" t="s">
        <v>5</v>
      </c>
      <c r="C13" s="713"/>
      <c r="D13" s="713" t="s">
        <v>16</v>
      </c>
      <c r="E13" s="714"/>
      <c r="F13" s="25"/>
      <c r="G13" s="26"/>
      <c r="H13" s="715" t="s">
        <v>5</v>
      </c>
      <c r="I13" s="715"/>
      <c r="J13" s="715" t="s">
        <v>16</v>
      </c>
      <c r="K13" s="716"/>
      <c r="L13" s="77"/>
      <c r="M13" s="27"/>
      <c r="N13" s="786" t="s">
        <v>5</v>
      </c>
      <c r="O13" s="786"/>
      <c r="P13" s="786" t="s">
        <v>16</v>
      </c>
      <c r="Q13" s="787"/>
      <c r="R13" s="25"/>
      <c r="S13" s="81" t="s">
        <v>21</v>
      </c>
      <c r="T13" s="711" t="s">
        <v>42</v>
      </c>
      <c r="U13" s="711"/>
      <c r="V13" s="711" t="s">
        <v>15</v>
      </c>
      <c r="W13" s="712"/>
    </row>
    <row r="14" spans="1:23" x14ac:dyDescent="0.25">
      <c r="A14" s="30">
        <f>E4</f>
        <v>0.375</v>
      </c>
      <c r="B14" s="31" t="str">
        <f>B8</f>
        <v>Equipe 1</v>
      </c>
      <c r="C14" s="31" t="str">
        <f>B9</f>
        <v>Equipe 2</v>
      </c>
      <c r="D14" s="53"/>
      <c r="E14" s="54"/>
      <c r="F14" s="2"/>
      <c r="G14" s="32">
        <f>A15+$J$6+R5</f>
        <v>0.3888888888888889</v>
      </c>
      <c r="H14" s="33" t="str">
        <f>H8</f>
        <v>Equipe 5</v>
      </c>
      <c r="I14" s="33" t="str">
        <f>H9</f>
        <v>Equipe 6</v>
      </c>
      <c r="J14" s="57"/>
      <c r="K14" s="58"/>
      <c r="L14" s="76"/>
      <c r="M14" s="34">
        <f>G15+$J$6+R5</f>
        <v>0.40277777777777779</v>
      </c>
      <c r="N14" s="35" t="str">
        <f>N8</f>
        <v>Equipe 9</v>
      </c>
      <c r="O14" s="35" t="str">
        <f>N9</f>
        <v>Equipe 10</v>
      </c>
      <c r="P14" s="61"/>
      <c r="Q14" s="62"/>
      <c r="R14" s="2"/>
      <c r="S14" s="49">
        <v>1</v>
      </c>
      <c r="T14" s="680" t="str">
        <f>VLOOKUP($S14,$G$45:$J$48,2,FALSE)</f>
        <v>Equipe 5</v>
      </c>
      <c r="U14" s="680"/>
      <c r="V14" s="681">
        <f>VLOOKUP($S14,$G$45:$J$48,4,FALSE)</f>
        <v>3.9999999999999998E-7</v>
      </c>
      <c r="W14" s="682"/>
    </row>
    <row r="15" spans="1:23" ht="15.75" thickBot="1" x14ac:dyDescent="0.3">
      <c r="A15" s="38">
        <f>E4</f>
        <v>0.375</v>
      </c>
      <c r="B15" s="39" t="str">
        <f>B10</f>
        <v>Equipe 3</v>
      </c>
      <c r="C15" s="39" t="str">
        <f>B11</f>
        <v>Equipe 4</v>
      </c>
      <c r="D15" s="55"/>
      <c r="E15" s="56"/>
      <c r="F15" s="2"/>
      <c r="G15" s="40">
        <f>G14</f>
        <v>0.3888888888888889</v>
      </c>
      <c r="H15" s="41" t="str">
        <f>H10</f>
        <v>Equipe 7</v>
      </c>
      <c r="I15" s="41" t="str">
        <f>H11</f>
        <v>Equipe 8</v>
      </c>
      <c r="J15" s="59"/>
      <c r="K15" s="60"/>
      <c r="L15" s="76"/>
      <c r="M15" s="42">
        <f>M14</f>
        <v>0.40277777777777779</v>
      </c>
      <c r="N15" s="43" t="str">
        <f>N10</f>
        <v>Equipe 11</v>
      </c>
      <c r="O15" s="43" t="str">
        <f>N11</f>
        <v>Equipe 12</v>
      </c>
      <c r="P15" s="63"/>
      <c r="Q15" s="64"/>
      <c r="R15" s="2"/>
      <c r="S15" s="49">
        <v>2</v>
      </c>
      <c r="T15" s="680" t="str">
        <f t="shared" ref="T15:T17" si="2">VLOOKUP($S15,$G$45:$J$48,2,FALSE)</f>
        <v>Equipe 6</v>
      </c>
      <c r="U15" s="680"/>
      <c r="V15" s="681">
        <f t="shared" ref="V15:V17" si="3">VLOOKUP($S15,$G$45:$J$48,4,FALSE)</f>
        <v>2.9999999999999999E-7</v>
      </c>
      <c r="W15" s="682"/>
    </row>
    <row r="16" spans="1:23" ht="15.75" thickBot="1" x14ac:dyDescent="0.3">
      <c r="A16" s="19"/>
      <c r="B16" s="2"/>
      <c r="C16" s="2"/>
      <c r="D16" s="411"/>
      <c r="E16" s="411"/>
      <c r="F16" s="2"/>
      <c r="G16" s="2"/>
      <c r="H16" s="2"/>
      <c r="I16" s="47"/>
      <c r="J16" s="411"/>
      <c r="K16" s="411"/>
      <c r="L16" s="85"/>
      <c r="M16" s="2"/>
      <c r="N16" s="2"/>
      <c r="O16" s="2"/>
      <c r="P16" s="411"/>
      <c r="Q16" s="412"/>
      <c r="R16" s="2"/>
      <c r="S16" s="49">
        <v>3</v>
      </c>
      <c r="T16" s="680" t="str">
        <f t="shared" si="2"/>
        <v>Equipe 7</v>
      </c>
      <c r="U16" s="680"/>
      <c r="V16" s="681">
        <f t="shared" si="3"/>
        <v>1.9999999999999999E-7</v>
      </c>
      <c r="W16" s="682"/>
    </row>
    <row r="17" spans="1:23" s="29" customFormat="1" ht="15.75" thickBot="1" x14ac:dyDescent="0.3">
      <c r="A17" s="24"/>
      <c r="B17" s="713" t="s">
        <v>6</v>
      </c>
      <c r="C17" s="713"/>
      <c r="D17" s="713" t="s">
        <v>16</v>
      </c>
      <c r="E17" s="714"/>
      <c r="F17" s="25"/>
      <c r="G17" s="26"/>
      <c r="H17" s="715" t="s">
        <v>6</v>
      </c>
      <c r="I17" s="715"/>
      <c r="J17" s="715" t="s">
        <v>16</v>
      </c>
      <c r="K17" s="716"/>
      <c r="L17" s="77"/>
      <c r="M17" s="27"/>
      <c r="N17" s="786" t="s">
        <v>6</v>
      </c>
      <c r="O17" s="786"/>
      <c r="P17" s="786" t="s">
        <v>16</v>
      </c>
      <c r="Q17" s="787"/>
      <c r="R17" s="25"/>
      <c r="S17" s="50">
        <v>4</v>
      </c>
      <c r="T17" s="706" t="str">
        <f t="shared" si="2"/>
        <v>Equipe 8</v>
      </c>
      <c r="U17" s="706"/>
      <c r="V17" s="709">
        <f t="shared" si="3"/>
        <v>9.9999999999999995E-8</v>
      </c>
      <c r="W17" s="710"/>
    </row>
    <row r="18" spans="1:23" ht="15.75" thickBot="1" x14ac:dyDescent="0.3">
      <c r="A18" s="30">
        <f>M15+$J$6+R5</f>
        <v>0.41666666666666669</v>
      </c>
      <c r="B18" s="31" t="str">
        <f>B8</f>
        <v>Equipe 1</v>
      </c>
      <c r="C18" s="31" t="str">
        <f>B10</f>
        <v>Equipe 3</v>
      </c>
      <c r="D18" s="53"/>
      <c r="E18" s="54"/>
      <c r="F18" s="2"/>
      <c r="G18" s="32">
        <f>A19+$J$6+R5</f>
        <v>0.43055555555555558</v>
      </c>
      <c r="H18" s="33" t="str">
        <f>H8</f>
        <v>Equipe 5</v>
      </c>
      <c r="I18" s="33" t="str">
        <f>H10</f>
        <v>Equipe 7</v>
      </c>
      <c r="J18" s="57"/>
      <c r="K18" s="58"/>
      <c r="L18" s="76"/>
      <c r="M18" s="34">
        <f>G19+$J$6+R5</f>
        <v>0.44444444444444448</v>
      </c>
      <c r="N18" s="35" t="str">
        <f>N8</f>
        <v>Equipe 9</v>
      </c>
      <c r="O18" s="35" t="str">
        <f>N10</f>
        <v>Equipe 11</v>
      </c>
      <c r="P18" s="61"/>
      <c r="Q18" s="62"/>
      <c r="R18" s="2"/>
      <c r="S18" s="19"/>
      <c r="T18" s="2"/>
      <c r="U18" s="2"/>
      <c r="V18" s="2"/>
      <c r="W18" s="21"/>
    </row>
    <row r="19" spans="1:23" ht="15.75" thickBot="1" x14ac:dyDescent="0.3">
      <c r="A19" s="38">
        <f>A18</f>
        <v>0.41666666666666669</v>
      </c>
      <c r="B19" s="39" t="str">
        <f>B9</f>
        <v>Equipe 2</v>
      </c>
      <c r="C19" s="39" t="str">
        <f>B11</f>
        <v>Equipe 4</v>
      </c>
      <c r="D19" s="55"/>
      <c r="E19" s="56"/>
      <c r="F19" s="2"/>
      <c r="G19" s="40">
        <f>G18</f>
        <v>0.43055555555555558</v>
      </c>
      <c r="H19" s="41" t="str">
        <f>H9</f>
        <v>Equipe 6</v>
      </c>
      <c r="I19" s="41" t="str">
        <f>H11</f>
        <v>Equipe 8</v>
      </c>
      <c r="J19" s="59"/>
      <c r="K19" s="60"/>
      <c r="L19" s="76"/>
      <c r="M19" s="42">
        <f>M18</f>
        <v>0.44444444444444448</v>
      </c>
      <c r="N19" s="43" t="str">
        <f>N9</f>
        <v>Equipe 10</v>
      </c>
      <c r="O19" s="43" t="str">
        <f>N11</f>
        <v>Equipe 12</v>
      </c>
      <c r="P19" s="63"/>
      <c r="Q19" s="64"/>
      <c r="R19" s="2"/>
      <c r="S19" s="81" t="s">
        <v>21</v>
      </c>
      <c r="T19" s="711" t="s">
        <v>43</v>
      </c>
      <c r="U19" s="711"/>
      <c r="V19" s="711" t="s">
        <v>15</v>
      </c>
      <c r="W19" s="712"/>
    </row>
    <row r="20" spans="1:23" ht="15.75" thickBot="1" x14ac:dyDescent="0.3">
      <c r="A20" s="19"/>
      <c r="B20" s="2"/>
      <c r="C20" s="2"/>
      <c r="D20" s="411"/>
      <c r="E20" s="411"/>
      <c r="F20" s="2"/>
      <c r="G20" s="2"/>
      <c r="H20" s="2"/>
      <c r="I20" s="47"/>
      <c r="J20" s="411"/>
      <c r="K20" s="411"/>
      <c r="L20" s="85"/>
      <c r="M20" s="2"/>
      <c r="N20" s="2"/>
      <c r="O20" s="2"/>
      <c r="P20" s="411"/>
      <c r="Q20" s="412"/>
      <c r="R20" s="2"/>
      <c r="S20" s="49">
        <v>1</v>
      </c>
      <c r="T20" s="680" t="str">
        <f>VLOOKUP($S20,$M$45:$P$48,2,FALSE)</f>
        <v>Equipe 9</v>
      </c>
      <c r="U20" s="680"/>
      <c r="V20" s="681">
        <f>VLOOKUP($S20,$M$45:$P$48,4,FALSE)</f>
        <v>3.9999999999999998E-7</v>
      </c>
      <c r="W20" s="682"/>
    </row>
    <row r="21" spans="1:23" s="29" customFormat="1" x14ac:dyDescent="0.25">
      <c r="A21" s="24"/>
      <c r="B21" s="713" t="s">
        <v>7</v>
      </c>
      <c r="C21" s="713"/>
      <c r="D21" s="713" t="s">
        <v>16</v>
      </c>
      <c r="E21" s="714"/>
      <c r="F21" s="25"/>
      <c r="G21" s="26"/>
      <c r="H21" s="715" t="s">
        <v>7</v>
      </c>
      <c r="I21" s="715"/>
      <c r="J21" s="715" t="s">
        <v>16</v>
      </c>
      <c r="K21" s="716"/>
      <c r="L21" s="77"/>
      <c r="M21" s="27"/>
      <c r="N21" s="786" t="s">
        <v>7</v>
      </c>
      <c r="O21" s="786"/>
      <c r="P21" s="786" t="s">
        <v>16</v>
      </c>
      <c r="Q21" s="787"/>
      <c r="R21" s="25"/>
      <c r="S21" s="49">
        <v>2</v>
      </c>
      <c r="T21" s="680" t="str">
        <f t="shared" ref="T21:T23" si="4">VLOOKUP($S21,$M$45:$P$48,2,FALSE)</f>
        <v>Equipe 10</v>
      </c>
      <c r="U21" s="680"/>
      <c r="V21" s="681">
        <f t="shared" ref="V21:V23" si="5">VLOOKUP($S21,$M$45:$P$48,4,FALSE)</f>
        <v>2.9999999999999999E-7</v>
      </c>
      <c r="W21" s="682"/>
    </row>
    <row r="22" spans="1:23" x14ac:dyDescent="0.25">
      <c r="A22" s="30">
        <f>M19+$J$6+R5</f>
        <v>0.45833333333333337</v>
      </c>
      <c r="B22" s="31" t="str">
        <f>B8</f>
        <v>Equipe 1</v>
      </c>
      <c r="C22" s="31" t="str">
        <f>B11</f>
        <v>Equipe 4</v>
      </c>
      <c r="D22" s="53"/>
      <c r="E22" s="54"/>
      <c r="F22" s="2"/>
      <c r="G22" s="32">
        <f>A23+$J$6+R5</f>
        <v>0.47222222222222227</v>
      </c>
      <c r="H22" s="33" t="str">
        <f>H8</f>
        <v>Equipe 5</v>
      </c>
      <c r="I22" s="33" t="str">
        <f>H11</f>
        <v>Equipe 8</v>
      </c>
      <c r="J22" s="57"/>
      <c r="K22" s="58"/>
      <c r="L22" s="76"/>
      <c r="M22" s="34">
        <f>G23+J6+R5</f>
        <v>0.48611111111111116</v>
      </c>
      <c r="N22" s="35" t="str">
        <f>N8</f>
        <v>Equipe 9</v>
      </c>
      <c r="O22" s="35" t="str">
        <f>N11</f>
        <v>Equipe 12</v>
      </c>
      <c r="P22" s="61"/>
      <c r="Q22" s="62"/>
      <c r="R22" s="2"/>
      <c r="S22" s="49">
        <v>3</v>
      </c>
      <c r="T22" s="680" t="str">
        <f t="shared" si="4"/>
        <v>Equipe 11</v>
      </c>
      <c r="U22" s="680"/>
      <c r="V22" s="681">
        <f t="shared" si="5"/>
        <v>1.9999999999999999E-7</v>
      </c>
      <c r="W22" s="682"/>
    </row>
    <row r="23" spans="1:23" ht="15.75" thickBot="1" x14ac:dyDescent="0.3">
      <c r="A23" s="38">
        <f>A22</f>
        <v>0.45833333333333337</v>
      </c>
      <c r="B23" s="39" t="str">
        <f>B9</f>
        <v>Equipe 2</v>
      </c>
      <c r="C23" s="39" t="str">
        <f>B10</f>
        <v>Equipe 3</v>
      </c>
      <c r="D23" s="55"/>
      <c r="E23" s="56"/>
      <c r="F23" s="47"/>
      <c r="G23" s="40">
        <f>G22</f>
        <v>0.47222222222222227</v>
      </c>
      <c r="H23" s="41" t="str">
        <f>H9</f>
        <v>Equipe 6</v>
      </c>
      <c r="I23" s="41" t="str">
        <f>H10</f>
        <v>Equipe 7</v>
      </c>
      <c r="J23" s="59"/>
      <c r="K23" s="60"/>
      <c r="L23" s="78"/>
      <c r="M23" s="42">
        <f>M22</f>
        <v>0.48611111111111116</v>
      </c>
      <c r="N23" s="43" t="str">
        <f>N9</f>
        <v>Equipe 10</v>
      </c>
      <c r="O23" s="43" t="str">
        <f>N10</f>
        <v>Equipe 11</v>
      </c>
      <c r="P23" s="63"/>
      <c r="Q23" s="64"/>
      <c r="R23" s="47"/>
      <c r="S23" s="50">
        <v>4</v>
      </c>
      <c r="T23" s="706" t="str">
        <f t="shared" si="4"/>
        <v>Equipe 12</v>
      </c>
      <c r="U23" s="706"/>
      <c r="V23" s="709">
        <f t="shared" si="5"/>
        <v>9.9999999999999995E-8</v>
      </c>
      <c r="W23" s="710"/>
    </row>
    <row r="24" spans="1:23" ht="24.95" customHeight="1" thickBot="1" x14ac:dyDescent="0.3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4"/>
    </row>
    <row r="25" spans="1:23" ht="16.5" thickBot="1" x14ac:dyDescent="0.3">
      <c r="A25" s="701" t="s">
        <v>36</v>
      </c>
      <c r="B25" s="685"/>
      <c r="C25" s="685"/>
      <c r="D25" s="685"/>
      <c r="E25" s="685"/>
      <c r="F25" s="685"/>
      <c r="G25" s="685"/>
      <c r="H25" s="685"/>
      <c r="I25" s="410" t="s">
        <v>18</v>
      </c>
      <c r="J25" s="782">
        <v>1.0416666666666666E-2</v>
      </c>
      <c r="K25" s="782"/>
      <c r="L25" s="782"/>
      <c r="M25" s="425" t="s">
        <v>17</v>
      </c>
      <c r="N25" s="410"/>
      <c r="O25" s="410"/>
      <c r="P25" s="425"/>
      <c r="Q25" s="686"/>
      <c r="R25" s="686"/>
      <c r="S25" s="686"/>
      <c r="T25" s="686"/>
      <c r="U25" s="686"/>
      <c r="V25" s="686"/>
      <c r="W25" s="781"/>
    </row>
    <row r="26" spans="1:23" x14ac:dyDescent="0.25">
      <c r="A26" s="6"/>
      <c r="B26" s="912" t="s">
        <v>48</v>
      </c>
      <c r="C26" s="913"/>
      <c r="D26" s="912" t="s">
        <v>15</v>
      </c>
      <c r="E26" s="914"/>
      <c r="F26" s="102"/>
      <c r="G26" s="7"/>
      <c r="H26" s="915" t="s">
        <v>44</v>
      </c>
      <c r="I26" s="916"/>
      <c r="J26" s="915" t="s">
        <v>15</v>
      </c>
      <c r="K26" s="917"/>
      <c r="L26" s="76"/>
      <c r="M26" s="8"/>
      <c r="N26" s="852" t="s">
        <v>45</v>
      </c>
      <c r="O26" s="918"/>
      <c r="P26" s="804" t="s">
        <v>15</v>
      </c>
      <c r="Q26" s="806"/>
      <c r="R26" s="2"/>
      <c r="S26" s="9"/>
      <c r="T26" s="807" t="s">
        <v>46</v>
      </c>
      <c r="U26" s="910"/>
      <c r="V26" s="807" t="s">
        <v>15</v>
      </c>
      <c r="W26" s="809"/>
    </row>
    <row r="27" spans="1:23" x14ac:dyDescent="0.25">
      <c r="A27" s="10">
        <v>1</v>
      </c>
      <c r="B27" s="905" t="str">
        <f>IF(D14="","4eme A",T11)</f>
        <v>4eme A</v>
      </c>
      <c r="C27" s="906"/>
      <c r="D27" s="725">
        <f>A67+A68+C51/1000000</f>
        <v>0</v>
      </c>
      <c r="E27" s="726"/>
      <c r="F27" s="103"/>
      <c r="G27" s="11">
        <v>1</v>
      </c>
      <c r="H27" s="907" t="str">
        <f>IF(D14="","3eme A",T10)</f>
        <v>3eme A</v>
      </c>
      <c r="I27" s="908"/>
      <c r="J27" s="729">
        <f>G67+G68+I51/1000000</f>
        <v>0</v>
      </c>
      <c r="K27" s="730"/>
      <c r="L27" s="76"/>
      <c r="M27" s="12">
        <v>1</v>
      </c>
      <c r="N27" s="844" t="str">
        <f>IF(D14="","2eme A",T9)</f>
        <v>2eme A</v>
      </c>
      <c r="O27" s="909"/>
      <c r="P27" s="802">
        <f>M67+M68+O51/1000000</f>
        <v>0</v>
      </c>
      <c r="Q27" s="803"/>
      <c r="R27" s="2"/>
      <c r="S27" s="13">
        <v>1</v>
      </c>
      <c r="T27" s="835" t="str">
        <f>IF(D14="","1er A",T8)</f>
        <v>1er A</v>
      </c>
      <c r="U27" s="911"/>
      <c r="V27" s="798">
        <f>S67+S68+U51/1000000</f>
        <v>0</v>
      </c>
      <c r="W27" s="799"/>
    </row>
    <row r="28" spans="1:23" x14ac:dyDescent="0.25">
      <c r="A28" s="10">
        <v>2</v>
      </c>
      <c r="B28" s="905" t="str">
        <f>IF(D14="","4eme B",T17)</f>
        <v>4eme B</v>
      </c>
      <c r="C28" s="906"/>
      <c r="D28" s="725">
        <f>B67+A69+C52/1000000</f>
        <v>0</v>
      </c>
      <c r="E28" s="726"/>
      <c r="F28" s="103"/>
      <c r="G28" s="11">
        <v>2</v>
      </c>
      <c r="H28" s="907" t="str">
        <f>IF(D14="","3eme B",T16)</f>
        <v>3eme B</v>
      </c>
      <c r="I28" s="908"/>
      <c r="J28" s="729">
        <f>H67+G69+I52/1000000</f>
        <v>0</v>
      </c>
      <c r="K28" s="730"/>
      <c r="L28" s="76"/>
      <c r="M28" s="12">
        <v>2</v>
      </c>
      <c r="N28" s="844" t="str">
        <f>IF(D14="","2eme B",T15)</f>
        <v>2eme B</v>
      </c>
      <c r="O28" s="909"/>
      <c r="P28" s="802">
        <f>N67+M69+O52/1000000</f>
        <v>0</v>
      </c>
      <c r="Q28" s="803"/>
      <c r="R28" s="2"/>
      <c r="S28" s="13">
        <v>2</v>
      </c>
      <c r="T28" s="835" t="str">
        <f>IF(D14="","1er B",T14)</f>
        <v>1er B</v>
      </c>
      <c r="U28" s="911"/>
      <c r="V28" s="798">
        <f>T67+S69+U52/1000000</f>
        <v>0</v>
      </c>
      <c r="W28" s="799"/>
    </row>
    <row r="29" spans="1:23" ht="15.75" thickBot="1" x14ac:dyDescent="0.3">
      <c r="A29" s="15">
        <v>3</v>
      </c>
      <c r="B29" s="901" t="str">
        <f>IF(D14="","4eme C",T23)</f>
        <v>4eme C</v>
      </c>
      <c r="C29" s="902"/>
      <c r="D29" s="719">
        <f>B68+B69+C53/1000000</f>
        <v>0</v>
      </c>
      <c r="E29" s="720"/>
      <c r="F29" s="103"/>
      <c r="G29" s="16">
        <v>3</v>
      </c>
      <c r="H29" s="903" t="str">
        <f>IF(D14="","3eme C",T22)</f>
        <v>3eme C</v>
      </c>
      <c r="I29" s="904"/>
      <c r="J29" s="723">
        <f>H68+H69+I53/1000000</f>
        <v>0</v>
      </c>
      <c r="K29" s="724"/>
      <c r="L29" s="76"/>
      <c r="M29" s="17">
        <v>3</v>
      </c>
      <c r="N29" s="846" t="str">
        <f>IF(D14="","2eme C",T21)</f>
        <v>2eme C</v>
      </c>
      <c r="O29" s="889"/>
      <c r="P29" s="794">
        <f>N68+N69+O53/1000000</f>
        <v>0</v>
      </c>
      <c r="Q29" s="795"/>
      <c r="R29" s="2"/>
      <c r="S29" s="18">
        <v>3</v>
      </c>
      <c r="T29" s="837" t="str">
        <f>IF(D14="","1er C",T20)</f>
        <v>1er C</v>
      </c>
      <c r="U29" s="887"/>
      <c r="V29" s="790">
        <f>T68+T69+U53/1000000</f>
        <v>0</v>
      </c>
      <c r="W29" s="791"/>
    </row>
    <row r="30" spans="1:23" ht="15.75" thickBot="1" x14ac:dyDescent="0.3">
      <c r="A30" s="19"/>
      <c r="B30" s="2"/>
      <c r="C30" s="2"/>
      <c r="D30" s="2"/>
      <c r="E30" s="2"/>
      <c r="F30" s="2"/>
      <c r="G30" s="2"/>
      <c r="H30" s="2"/>
      <c r="I30" s="20"/>
      <c r="J30" s="2"/>
      <c r="K30" s="2"/>
      <c r="L30" s="85"/>
      <c r="M30" s="2"/>
      <c r="N30" s="2"/>
      <c r="O30" s="2"/>
      <c r="P30" s="2"/>
      <c r="Q30" s="2"/>
      <c r="R30" s="2"/>
      <c r="S30" s="2"/>
      <c r="T30" s="2"/>
      <c r="U30" s="2"/>
      <c r="V30" s="2"/>
      <c r="W30" s="21"/>
    </row>
    <row r="31" spans="1:23" s="29" customFormat="1" x14ac:dyDescent="0.25">
      <c r="A31" s="24"/>
      <c r="B31" s="713" t="s">
        <v>8</v>
      </c>
      <c r="C31" s="713"/>
      <c r="D31" s="713" t="s">
        <v>16</v>
      </c>
      <c r="E31" s="714"/>
      <c r="F31" s="25"/>
      <c r="G31" s="26"/>
      <c r="H31" s="715" t="s">
        <v>8</v>
      </c>
      <c r="I31" s="715"/>
      <c r="J31" s="715" t="s">
        <v>16</v>
      </c>
      <c r="K31" s="716"/>
      <c r="L31" s="77"/>
      <c r="M31" s="27"/>
      <c r="N31" s="786" t="s">
        <v>8</v>
      </c>
      <c r="O31" s="786"/>
      <c r="P31" s="786" t="s">
        <v>16</v>
      </c>
      <c r="Q31" s="787"/>
      <c r="R31" s="25"/>
      <c r="S31" s="28"/>
      <c r="T31" s="784" t="s">
        <v>8</v>
      </c>
      <c r="U31" s="784"/>
      <c r="V31" s="784" t="s">
        <v>16</v>
      </c>
      <c r="W31" s="785"/>
    </row>
    <row r="32" spans="1:23" x14ac:dyDescent="0.25">
      <c r="A32" s="30">
        <f>M23+J6+R5+L5</f>
        <v>0.54166666666666674</v>
      </c>
      <c r="B32" s="31" t="str">
        <f>B27</f>
        <v>4eme A</v>
      </c>
      <c r="C32" s="31" t="str">
        <f>B28</f>
        <v>4eme B</v>
      </c>
      <c r="D32" s="53"/>
      <c r="E32" s="54"/>
      <c r="F32" s="2"/>
      <c r="G32" s="32">
        <f>A32</f>
        <v>0.54166666666666674</v>
      </c>
      <c r="H32" s="33" t="str">
        <f>H27</f>
        <v>3eme A</v>
      </c>
      <c r="I32" s="33" t="str">
        <f>H28</f>
        <v>3eme B</v>
      </c>
      <c r="J32" s="57"/>
      <c r="K32" s="58"/>
      <c r="L32" s="76"/>
      <c r="M32" s="34">
        <f>G32+$J$25+R5</f>
        <v>0.55555555555555558</v>
      </c>
      <c r="N32" s="35" t="str">
        <f>N27</f>
        <v>2eme A</v>
      </c>
      <c r="O32" s="35" t="str">
        <f>N28</f>
        <v>2eme B</v>
      </c>
      <c r="P32" s="61"/>
      <c r="Q32" s="62"/>
      <c r="R32" s="2"/>
      <c r="S32" s="36">
        <f>M32</f>
        <v>0.55555555555555558</v>
      </c>
      <c r="T32" s="37" t="str">
        <f>T27</f>
        <v>1er A</v>
      </c>
      <c r="U32" s="37" t="str">
        <f>T28</f>
        <v>1er B</v>
      </c>
      <c r="V32" s="65"/>
      <c r="W32" s="66"/>
    </row>
    <row r="33" spans="1:23" x14ac:dyDescent="0.25">
      <c r="A33" s="30">
        <f>S32+J25+R5</f>
        <v>0.56944444444444442</v>
      </c>
      <c r="B33" s="31" t="str">
        <f>B27</f>
        <v>4eme A</v>
      </c>
      <c r="C33" s="31" t="str">
        <f>B29</f>
        <v>4eme C</v>
      </c>
      <c r="D33" s="53"/>
      <c r="E33" s="54"/>
      <c r="F33" s="2"/>
      <c r="G33" s="32">
        <f>A33</f>
        <v>0.56944444444444442</v>
      </c>
      <c r="H33" s="33" t="str">
        <f>H27</f>
        <v>3eme A</v>
      </c>
      <c r="I33" s="33" t="str">
        <f>H29</f>
        <v>3eme C</v>
      </c>
      <c r="J33" s="57"/>
      <c r="K33" s="58"/>
      <c r="L33" s="76"/>
      <c r="M33" s="34">
        <f>G33+$J$25+R5</f>
        <v>0.58333333333333326</v>
      </c>
      <c r="N33" s="35" t="str">
        <f>N27</f>
        <v>2eme A</v>
      </c>
      <c r="O33" s="35" t="str">
        <f>N29</f>
        <v>2eme C</v>
      </c>
      <c r="P33" s="61"/>
      <c r="Q33" s="62"/>
      <c r="R33" s="2"/>
      <c r="S33" s="36">
        <f>M33</f>
        <v>0.58333333333333326</v>
      </c>
      <c r="T33" s="37" t="str">
        <f>T27</f>
        <v>1er A</v>
      </c>
      <c r="U33" s="37" t="str">
        <f>T29</f>
        <v>1er C</v>
      </c>
      <c r="V33" s="65"/>
      <c r="W33" s="66"/>
    </row>
    <row r="34" spans="1:23" ht="15.75" thickBot="1" x14ac:dyDescent="0.3">
      <c r="A34" s="38">
        <f>S33+J25+R5</f>
        <v>0.5972222222222221</v>
      </c>
      <c r="B34" s="39" t="str">
        <f>B28</f>
        <v>4eme B</v>
      </c>
      <c r="C34" s="39" t="str">
        <f>B29</f>
        <v>4eme C</v>
      </c>
      <c r="D34" s="55"/>
      <c r="E34" s="56"/>
      <c r="F34" s="47"/>
      <c r="G34" s="40">
        <f>A34</f>
        <v>0.5972222222222221</v>
      </c>
      <c r="H34" s="41" t="str">
        <f>H28</f>
        <v>3eme B</v>
      </c>
      <c r="I34" s="41" t="str">
        <f>H29</f>
        <v>3eme C</v>
      </c>
      <c r="J34" s="59"/>
      <c r="K34" s="60"/>
      <c r="L34" s="78"/>
      <c r="M34" s="42">
        <f>G34+$J$25+R5</f>
        <v>0.61111111111111094</v>
      </c>
      <c r="N34" s="43" t="str">
        <f>N28</f>
        <v>2eme B</v>
      </c>
      <c r="O34" s="43" t="str">
        <f>N29</f>
        <v>2eme C</v>
      </c>
      <c r="P34" s="63"/>
      <c r="Q34" s="64"/>
      <c r="R34" s="47"/>
      <c r="S34" s="44">
        <f>M34</f>
        <v>0.61111111111111094</v>
      </c>
      <c r="T34" s="45" t="str">
        <f>T28</f>
        <v>1er B</v>
      </c>
      <c r="U34" s="45" t="str">
        <f>T29</f>
        <v>1er C</v>
      </c>
      <c r="V34" s="67"/>
      <c r="W34" s="68"/>
    </row>
    <row r="35" spans="1:23" ht="15.75" thickBot="1" x14ac:dyDescent="0.3">
      <c r="A35" s="10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107"/>
    </row>
    <row r="36" spans="1:23" ht="16.5" thickBot="1" x14ac:dyDescent="0.3">
      <c r="A36" s="670" t="s">
        <v>47</v>
      </c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2"/>
    </row>
    <row r="37" spans="1:23" x14ac:dyDescent="0.25">
      <c r="A37" s="84"/>
      <c r="B37" s="874" t="s">
        <v>48</v>
      </c>
      <c r="C37" s="874"/>
      <c r="D37" s="874" t="s">
        <v>15</v>
      </c>
      <c r="E37" s="894"/>
      <c r="F37" s="773"/>
      <c r="G37" s="90"/>
      <c r="H37" s="874" t="s">
        <v>44</v>
      </c>
      <c r="I37" s="874"/>
      <c r="J37" s="874" t="s">
        <v>15</v>
      </c>
      <c r="K37" s="894"/>
      <c r="L37" s="929"/>
      <c r="M37" s="90"/>
      <c r="N37" s="874" t="s">
        <v>45</v>
      </c>
      <c r="O37" s="874"/>
      <c r="P37" s="874" t="s">
        <v>15</v>
      </c>
      <c r="Q37" s="894"/>
      <c r="R37" s="926"/>
      <c r="S37" s="96"/>
      <c r="T37" s="711" t="s">
        <v>46</v>
      </c>
      <c r="U37" s="711"/>
      <c r="V37" s="711" t="s">
        <v>15</v>
      </c>
      <c r="W37" s="712"/>
    </row>
    <row r="38" spans="1:23" x14ac:dyDescent="0.25">
      <c r="A38" s="86">
        <v>1</v>
      </c>
      <c r="B38" s="680" t="str">
        <f>VLOOKUP($A38,$A$51:$D$53,2,FALSE)</f>
        <v>4eme A</v>
      </c>
      <c r="C38" s="680"/>
      <c r="D38" s="681">
        <f>VLOOKUP($A38,$A$51:$D$53,4,FALSE)</f>
        <v>2.9999999999999999E-7</v>
      </c>
      <c r="E38" s="681"/>
      <c r="F38" s="774"/>
      <c r="G38" s="91">
        <v>1</v>
      </c>
      <c r="H38" s="680" t="str">
        <f>VLOOKUP($G38,$G$51:$J$53,2,FALSE)</f>
        <v>3eme A</v>
      </c>
      <c r="I38" s="680"/>
      <c r="J38" s="681">
        <f>VLOOKUP($G38,$G$51:$J$53,4,FALSE)</f>
        <v>2.9999999999999999E-7</v>
      </c>
      <c r="K38" s="681"/>
      <c r="L38" s="930"/>
      <c r="M38" s="91">
        <v>1</v>
      </c>
      <c r="N38" s="680" t="str">
        <f>VLOOKUP($M38,$M$51:$P$53,2,FALSE)</f>
        <v>2eme A</v>
      </c>
      <c r="O38" s="680"/>
      <c r="P38" s="681">
        <f>VLOOKUP($M38,$M$51:$P$53,4,FALSE)</f>
        <v>2.9999999999999999E-7</v>
      </c>
      <c r="Q38" s="681"/>
      <c r="R38" s="927"/>
      <c r="S38" s="86">
        <v>1</v>
      </c>
      <c r="T38" s="680" t="str">
        <f>VLOOKUP($S38,$S$51:$V$53,2,FALSE)</f>
        <v>1er A</v>
      </c>
      <c r="U38" s="680"/>
      <c r="V38" s="681">
        <f>VLOOKUP($S38,$S$51:$V$53,4,FALSE)</f>
        <v>2.9999999999999999E-7</v>
      </c>
      <c r="W38" s="682"/>
    </row>
    <row r="39" spans="1:23" x14ac:dyDescent="0.25">
      <c r="A39" s="86">
        <v>2</v>
      </c>
      <c r="B39" s="680" t="str">
        <f t="shared" ref="B39:B40" si="6">VLOOKUP($A39,$A$51:$D$53,2,FALSE)</f>
        <v>4eme B</v>
      </c>
      <c r="C39" s="680"/>
      <c r="D39" s="681">
        <f t="shared" ref="D39:D40" si="7">VLOOKUP($A39,$A$51:$D$53,4,FALSE)</f>
        <v>1.9999999999999999E-7</v>
      </c>
      <c r="E39" s="681"/>
      <c r="F39" s="774"/>
      <c r="G39" s="91">
        <v>2</v>
      </c>
      <c r="H39" s="680" t="str">
        <f t="shared" ref="H39:H40" si="8">VLOOKUP($G39,$G$51:$J$53,2,FALSE)</f>
        <v>3eme B</v>
      </c>
      <c r="I39" s="680"/>
      <c r="J39" s="681">
        <f t="shared" ref="J39:J40" si="9">VLOOKUP($G39,$G$51:$J$53,4,FALSE)</f>
        <v>1.9999999999999999E-7</v>
      </c>
      <c r="K39" s="681"/>
      <c r="L39" s="930"/>
      <c r="M39" s="91">
        <v>2</v>
      </c>
      <c r="N39" s="680" t="str">
        <f t="shared" ref="N39:N40" si="10">VLOOKUP($M39,$M$51:$P$53,2,FALSE)</f>
        <v>2eme B</v>
      </c>
      <c r="O39" s="680"/>
      <c r="P39" s="681">
        <f t="shared" ref="P39:P40" si="11">VLOOKUP($M39,$M$51:$P$53,4,FALSE)</f>
        <v>1.9999999999999999E-7</v>
      </c>
      <c r="Q39" s="681"/>
      <c r="R39" s="927"/>
      <c r="S39" s="86">
        <v>2</v>
      </c>
      <c r="T39" s="680" t="str">
        <f t="shared" ref="T39:T40" si="12">VLOOKUP($S39,$S$51:$V$53,2,FALSE)</f>
        <v>1er B</v>
      </c>
      <c r="U39" s="680"/>
      <c r="V39" s="681">
        <f t="shared" ref="V39:V40" si="13">VLOOKUP($S39,$S$51:$V$53,4,FALSE)</f>
        <v>1.9999999999999999E-7</v>
      </c>
      <c r="W39" s="682"/>
    </row>
    <row r="40" spans="1:23" ht="15.75" thickBot="1" x14ac:dyDescent="0.3">
      <c r="A40" s="87">
        <v>3</v>
      </c>
      <c r="B40" s="680" t="str">
        <f t="shared" si="6"/>
        <v>4eme C</v>
      </c>
      <c r="C40" s="680"/>
      <c r="D40" s="681">
        <f t="shared" si="7"/>
        <v>9.9999999999999995E-8</v>
      </c>
      <c r="E40" s="681"/>
      <c r="F40" s="775"/>
      <c r="G40" s="92">
        <v>3</v>
      </c>
      <c r="H40" s="680" t="str">
        <f t="shared" si="8"/>
        <v>3eme C</v>
      </c>
      <c r="I40" s="680"/>
      <c r="J40" s="681">
        <f t="shared" si="9"/>
        <v>9.9999999999999995E-8</v>
      </c>
      <c r="K40" s="681"/>
      <c r="L40" s="931"/>
      <c r="M40" s="92">
        <v>3</v>
      </c>
      <c r="N40" s="680" t="str">
        <f t="shared" si="10"/>
        <v>2eme C</v>
      </c>
      <c r="O40" s="680"/>
      <c r="P40" s="681">
        <f t="shared" si="11"/>
        <v>9.9999999999999995E-8</v>
      </c>
      <c r="Q40" s="681"/>
      <c r="R40" s="928"/>
      <c r="S40" s="87">
        <v>3</v>
      </c>
      <c r="T40" s="706" t="str">
        <f t="shared" si="12"/>
        <v>1er C</v>
      </c>
      <c r="U40" s="706"/>
      <c r="V40" s="709">
        <f t="shared" si="13"/>
        <v>9.9999999999999995E-8</v>
      </c>
      <c r="W40" s="710"/>
    </row>
    <row r="41" spans="1:23" ht="15.75" thickBot="1" x14ac:dyDescent="0.3">
      <c r="A41" s="768" t="s">
        <v>34</v>
      </c>
      <c r="B41" s="675"/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6"/>
    </row>
    <row r="42" spans="1:23" x14ac:dyDescent="0.25">
      <c r="U42" s="932" t="s">
        <v>235</v>
      </c>
      <c r="V42" s="932"/>
      <c r="W42" s="932"/>
    </row>
    <row r="43" spans="1:23" ht="16.5" hidden="1" thickBot="1" x14ac:dyDescent="0.3">
      <c r="A43" s="670" t="s">
        <v>49</v>
      </c>
      <c r="B43" s="671"/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2"/>
      <c r="R43" s="98"/>
      <c r="S43" s="98"/>
      <c r="T43" s="98"/>
      <c r="U43" s="98"/>
      <c r="V43" s="98"/>
      <c r="W43" s="98"/>
    </row>
    <row r="44" spans="1:23" ht="14.45" hidden="1" customHeight="1" x14ac:dyDescent="0.25">
      <c r="A44" s="84"/>
      <c r="B44" s="772" t="s">
        <v>1</v>
      </c>
      <c r="C44" s="924"/>
      <c r="D44" s="772" t="s">
        <v>15</v>
      </c>
      <c r="E44" s="924"/>
      <c r="F44" s="923"/>
      <c r="G44" s="82"/>
      <c r="H44" s="772" t="s">
        <v>2</v>
      </c>
      <c r="I44" s="924"/>
      <c r="J44" s="772" t="s">
        <v>15</v>
      </c>
      <c r="K44" s="924"/>
      <c r="L44" s="85"/>
      <c r="M44" s="82"/>
      <c r="N44" s="772" t="s">
        <v>3</v>
      </c>
      <c r="O44" s="924"/>
      <c r="P44" s="772" t="s">
        <v>15</v>
      </c>
      <c r="Q44" s="925"/>
      <c r="R44" s="2"/>
      <c r="S44" s="99"/>
      <c r="T44" s="920"/>
      <c r="U44" s="920"/>
      <c r="V44" s="920"/>
      <c r="W44" s="920"/>
    </row>
    <row r="45" spans="1:23" ht="14.45" hidden="1" customHeight="1" x14ac:dyDescent="0.25">
      <c r="A45" s="86">
        <f>RANK(D45,$D$45:$D$48)</f>
        <v>1</v>
      </c>
      <c r="B45" s="69" t="str">
        <f>B8</f>
        <v>Equipe 1</v>
      </c>
      <c r="C45" s="69">
        <f>D14-E14+D18-E18+D22-E22</f>
        <v>0</v>
      </c>
      <c r="D45" s="681">
        <f>D8+4/10000000</f>
        <v>3.9999999999999998E-7</v>
      </c>
      <c r="E45" s="921"/>
      <c r="F45" s="873"/>
      <c r="G45" s="86">
        <f>RANK(J45,$J$45:$J$48)</f>
        <v>1</v>
      </c>
      <c r="H45" s="69" t="str">
        <f>H8</f>
        <v>Equipe 5</v>
      </c>
      <c r="I45" s="69">
        <f>J14-K14+J18-K18+J22-K22</f>
        <v>0</v>
      </c>
      <c r="J45" s="681">
        <f>J8+4/10000000</f>
        <v>3.9999999999999998E-7</v>
      </c>
      <c r="K45" s="921"/>
      <c r="L45" s="85"/>
      <c r="M45" s="86">
        <f>RANK(P45,$P$45:$P$48)</f>
        <v>1</v>
      </c>
      <c r="N45" s="69" t="str">
        <f>N8</f>
        <v>Equipe 9</v>
      </c>
      <c r="O45" s="69">
        <f>P14-Q14+P18-Q18+P22-Q22</f>
        <v>0</v>
      </c>
      <c r="P45" s="681">
        <f>P8+4/10000000</f>
        <v>3.9999999999999998E-7</v>
      </c>
      <c r="Q45" s="922"/>
      <c r="R45" s="2"/>
      <c r="S45" s="94"/>
      <c r="T45" s="95"/>
      <c r="U45" s="95"/>
      <c r="V45" s="919"/>
      <c r="W45" s="919"/>
    </row>
    <row r="46" spans="1:23" ht="14.45" hidden="1" customHeight="1" x14ac:dyDescent="0.25">
      <c r="A46" s="86">
        <f t="shared" ref="A46:A48" si="14">RANK(D46,$D$45:$D$48)</f>
        <v>2</v>
      </c>
      <c r="B46" s="69" t="str">
        <f t="shared" ref="B46:B48" si="15">B9</f>
        <v>Equipe 2</v>
      </c>
      <c r="C46" s="69">
        <f>E14-D14+D19-E19+D23-E23</f>
        <v>0</v>
      </c>
      <c r="D46" s="681">
        <f>D9+3/10000000</f>
        <v>2.9999999999999999E-7</v>
      </c>
      <c r="E46" s="921"/>
      <c r="F46" s="873"/>
      <c r="G46" s="86">
        <f t="shared" ref="G46:G48" si="16">RANK(J46,$J$45:$J$48)</f>
        <v>2</v>
      </c>
      <c r="H46" s="69" t="str">
        <f t="shared" ref="H46:H48" si="17">H9</f>
        <v>Equipe 6</v>
      </c>
      <c r="I46" s="69">
        <f>K14-J14+J19-K19+J23-K23</f>
        <v>0</v>
      </c>
      <c r="J46" s="681">
        <f>J9+3/10000000</f>
        <v>2.9999999999999999E-7</v>
      </c>
      <c r="K46" s="921"/>
      <c r="L46" s="85"/>
      <c r="M46" s="86">
        <f t="shared" ref="M46:M48" si="18">RANK(P46,$P$45:$P$48)</f>
        <v>2</v>
      </c>
      <c r="N46" s="69" t="str">
        <f t="shared" ref="N46:N48" si="19">N9</f>
        <v>Equipe 10</v>
      </c>
      <c r="O46" s="69">
        <f>Q14-P14+P19-Q19+P23-Q23</f>
        <v>0</v>
      </c>
      <c r="P46" s="681">
        <f>P9+3/10000000</f>
        <v>2.9999999999999999E-7</v>
      </c>
      <c r="Q46" s="922"/>
      <c r="R46" s="2"/>
      <c r="S46" s="94"/>
      <c r="T46" s="95"/>
      <c r="U46" s="95"/>
      <c r="V46" s="919"/>
      <c r="W46" s="919"/>
    </row>
    <row r="47" spans="1:23" ht="14.45" hidden="1" customHeight="1" x14ac:dyDescent="0.25">
      <c r="A47" s="86">
        <f t="shared" si="14"/>
        <v>3</v>
      </c>
      <c r="B47" s="69" t="str">
        <f t="shared" si="15"/>
        <v>Equipe 3</v>
      </c>
      <c r="C47" s="69">
        <f>D15-E15+E18-D18+E23-D23</f>
        <v>0</v>
      </c>
      <c r="D47" s="681">
        <f>D10+2/10000000</f>
        <v>1.9999999999999999E-7</v>
      </c>
      <c r="E47" s="921"/>
      <c r="F47" s="873"/>
      <c r="G47" s="86">
        <f t="shared" si="16"/>
        <v>3</v>
      </c>
      <c r="H47" s="69" t="str">
        <f t="shared" si="17"/>
        <v>Equipe 7</v>
      </c>
      <c r="I47" s="69">
        <f>J15-K15+K18-J18+K23-J23</f>
        <v>0</v>
      </c>
      <c r="J47" s="681">
        <f>J10+2/10000000</f>
        <v>1.9999999999999999E-7</v>
      </c>
      <c r="K47" s="921"/>
      <c r="L47" s="85"/>
      <c r="M47" s="86">
        <f t="shared" si="18"/>
        <v>3</v>
      </c>
      <c r="N47" s="69" t="str">
        <f t="shared" si="19"/>
        <v>Equipe 11</v>
      </c>
      <c r="O47" s="69">
        <f>P15-Q15+Q18-P18+Q23-P23</f>
        <v>0</v>
      </c>
      <c r="P47" s="681">
        <f>P10+2/10000000</f>
        <v>1.9999999999999999E-7</v>
      </c>
      <c r="Q47" s="922"/>
      <c r="R47" s="2"/>
      <c r="S47" s="94"/>
      <c r="T47" s="95"/>
      <c r="U47" s="95"/>
      <c r="V47" s="919"/>
      <c r="W47" s="919"/>
    </row>
    <row r="48" spans="1:23" ht="14.45" hidden="1" customHeight="1" x14ac:dyDescent="0.25">
      <c r="A48" s="100">
        <f t="shared" si="14"/>
        <v>4</v>
      </c>
      <c r="B48" s="101" t="str">
        <f t="shared" si="15"/>
        <v>Equipe 4</v>
      </c>
      <c r="C48" s="101">
        <f>E15-D15+E19-D19+E22-D22</f>
        <v>0</v>
      </c>
      <c r="D48" s="895">
        <f>D11+1/10000000</f>
        <v>9.9999999999999995E-8</v>
      </c>
      <c r="E48" s="896"/>
      <c r="F48" s="873"/>
      <c r="G48" s="100">
        <f t="shared" si="16"/>
        <v>4</v>
      </c>
      <c r="H48" s="101" t="str">
        <f t="shared" si="17"/>
        <v>Equipe 8</v>
      </c>
      <c r="I48" s="101">
        <f>K15-J15+K19-J19+K22-J22</f>
        <v>0</v>
      </c>
      <c r="J48" s="895">
        <f>J11+1/10000000</f>
        <v>9.9999999999999995E-8</v>
      </c>
      <c r="K48" s="896"/>
      <c r="L48" s="85"/>
      <c r="M48" s="100">
        <f t="shared" si="18"/>
        <v>4</v>
      </c>
      <c r="N48" s="101" t="str">
        <f t="shared" si="19"/>
        <v>Equipe 12</v>
      </c>
      <c r="O48" s="101">
        <f>Q15-P15+Q19-P19+Q22-P22</f>
        <v>0</v>
      </c>
      <c r="P48" s="895">
        <f>P11+1/10000000</f>
        <v>9.9999999999999995E-8</v>
      </c>
      <c r="Q48" s="897"/>
      <c r="R48" s="2"/>
      <c r="S48" s="94"/>
      <c r="T48" s="95"/>
      <c r="U48" s="95"/>
      <c r="V48" s="919"/>
      <c r="W48" s="919"/>
    </row>
    <row r="49" spans="1:23" ht="16.5" hidden="1" thickBot="1" x14ac:dyDescent="0.3">
      <c r="A49" s="891" t="s">
        <v>47</v>
      </c>
      <c r="B49" s="892"/>
      <c r="C49" s="892"/>
      <c r="D49" s="892"/>
      <c r="E49" s="892"/>
      <c r="F49" s="671"/>
      <c r="G49" s="892"/>
      <c r="H49" s="892"/>
      <c r="I49" s="892"/>
      <c r="J49" s="892"/>
      <c r="K49" s="892"/>
      <c r="L49" s="671"/>
      <c r="M49" s="892"/>
      <c r="N49" s="892"/>
      <c r="O49" s="892"/>
      <c r="P49" s="892"/>
      <c r="Q49" s="892"/>
      <c r="R49" s="671"/>
      <c r="S49" s="892"/>
      <c r="T49" s="892"/>
      <c r="U49" s="892"/>
      <c r="V49" s="892"/>
      <c r="W49" s="893"/>
    </row>
    <row r="50" spans="1:23" ht="14.45" hidden="1" customHeight="1" x14ac:dyDescent="0.25">
      <c r="A50" s="96"/>
      <c r="B50" s="711" t="s">
        <v>48</v>
      </c>
      <c r="C50" s="711"/>
      <c r="D50" s="711" t="s">
        <v>15</v>
      </c>
      <c r="E50" s="712"/>
      <c r="F50" s="898"/>
      <c r="G50" s="96"/>
      <c r="H50" s="711" t="s">
        <v>50</v>
      </c>
      <c r="I50" s="711"/>
      <c r="J50" s="711" t="s">
        <v>15</v>
      </c>
      <c r="K50" s="712"/>
      <c r="L50" s="85"/>
      <c r="M50" s="96"/>
      <c r="N50" s="711" t="s">
        <v>45</v>
      </c>
      <c r="O50" s="711"/>
      <c r="P50" s="711" t="s">
        <v>15</v>
      </c>
      <c r="Q50" s="712"/>
      <c r="R50" s="2"/>
      <c r="S50" s="96"/>
      <c r="T50" s="711" t="s">
        <v>46</v>
      </c>
      <c r="U50" s="711"/>
      <c r="V50" s="711" t="s">
        <v>15</v>
      </c>
      <c r="W50" s="712"/>
    </row>
    <row r="51" spans="1:23" ht="14.45" hidden="1" customHeight="1" x14ac:dyDescent="0.25">
      <c r="A51" s="86">
        <f>RANK(D51,$D$51:$D$53)</f>
        <v>1</v>
      </c>
      <c r="B51" s="69" t="str">
        <f>B27</f>
        <v>4eme A</v>
      </c>
      <c r="C51" s="69">
        <f>D32-E32+D33-E33</f>
        <v>0</v>
      </c>
      <c r="D51" s="681">
        <f>D27+3/10000000</f>
        <v>2.9999999999999999E-7</v>
      </c>
      <c r="E51" s="682"/>
      <c r="F51" s="899"/>
      <c r="G51" s="86">
        <f>RANK(J51,$J$51:$J$53)</f>
        <v>1</v>
      </c>
      <c r="H51" s="69" t="str">
        <f>H27</f>
        <v>3eme A</v>
      </c>
      <c r="I51" s="69">
        <f>J32-K32+J33-K33</f>
        <v>0</v>
      </c>
      <c r="J51" s="681">
        <f>J27+3/10000000</f>
        <v>2.9999999999999999E-7</v>
      </c>
      <c r="K51" s="682"/>
      <c r="L51" s="85"/>
      <c r="M51" s="86">
        <f>RANK(P51,$P$51:$P$53)</f>
        <v>1</v>
      </c>
      <c r="N51" s="69" t="str">
        <f>N27</f>
        <v>2eme A</v>
      </c>
      <c r="O51" s="69">
        <f>P32-Q32+P33-Q33</f>
        <v>0</v>
      </c>
      <c r="P51" s="681">
        <f>P27+3/10000000</f>
        <v>2.9999999999999999E-7</v>
      </c>
      <c r="Q51" s="682"/>
      <c r="R51" s="2"/>
      <c r="S51" s="86">
        <f>RANK(V51,$V$51:$V$53)</f>
        <v>1</v>
      </c>
      <c r="T51" s="69" t="str">
        <f>T27</f>
        <v>1er A</v>
      </c>
      <c r="U51" s="69">
        <f>V32-W32+V33-W33</f>
        <v>0</v>
      </c>
      <c r="V51" s="681">
        <f>V27+3/10000000</f>
        <v>2.9999999999999999E-7</v>
      </c>
      <c r="W51" s="682"/>
    </row>
    <row r="52" spans="1:23" ht="14.45" hidden="1" customHeight="1" x14ac:dyDescent="0.25">
      <c r="A52" s="86">
        <f t="shared" ref="A52:A53" si="20">RANK(D52,$D$51:$D$53)</f>
        <v>2</v>
      </c>
      <c r="B52" s="69" t="str">
        <f t="shared" ref="B52:B53" si="21">B28</f>
        <v>4eme B</v>
      </c>
      <c r="C52" s="69">
        <f>E32-D32+D34-E34</f>
        <v>0</v>
      </c>
      <c r="D52" s="681">
        <f>D28+2/10000000</f>
        <v>1.9999999999999999E-7</v>
      </c>
      <c r="E52" s="682"/>
      <c r="F52" s="899"/>
      <c r="G52" s="86">
        <f t="shared" ref="G52:G53" si="22">RANK(J52,$J$51:$J$53)</f>
        <v>2</v>
      </c>
      <c r="H52" s="69" t="str">
        <f t="shared" ref="H52:H53" si="23">H28</f>
        <v>3eme B</v>
      </c>
      <c r="I52" s="69">
        <f>K32-J32+J34-K34</f>
        <v>0</v>
      </c>
      <c r="J52" s="681">
        <f>J28+2/10000000</f>
        <v>1.9999999999999999E-7</v>
      </c>
      <c r="K52" s="682"/>
      <c r="L52" s="85"/>
      <c r="M52" s="86">
        <f t="shared" ref="M52:M53" si="24">RANK(P52,$P$51:$P$53)</f>
        <v>2</v>
      </c>
      <c r="N52" s="69" t="str">
        <f t="shared" ref="N52:N53" si="25">N28</f>
        <v>2eme B</v>
      </c>
      <c r="O52" s="69">
        <f>Q32-P32+P34-Q34</f>
        <v>0</v>
      </c>
      <c r="P52" s="681">
        <f>P28+2/10000000</f>
        <v>1.9999999999999999E-7</v>
      </c>
      <c r="Q52" s="682"/>
      <c r="R52" s="2"/>
      <c r="S52" s="86">
        <f t="shared" ref="S52:S53" si="26">RANK(V52,$V$51:$V$53)</f>
        <v>2</v>
      </c>
      <c r="T52" s="69" t="str">
        <f t="shared" ref="T52:T53" si="27">T28</f>
        <v>1er B</v>
      </c>
      <c r="U52" s="69">
        <f>W32-V32+V34-W34</f>
        <v>0</v>
      </c>
      <c r="V52" s="681">
        <f>V28+2/10000000</f>
        <v>1.9999999999999999E-7</v>
      </c>
      <c r="W52" s="682"/>
    </row>
    <row r="53" spans="1:23" ht="14.45" hidden="1" customHeight="1" x14ac:dyDescent="0.25">
      <c r="A53" s="87">
        <f t="shared" si="20"/>
        <v>3</v>
      </c>
      <c r="B53" s="88" t="str">
        <f t="shared" si="21"/>
        <v>4eme C</v>
      </c>
      <c r="C53" s="88">
        <f>E33-D33+E34-D34</f>
        <v>0</v>
      </c>
      <c r="D53" s="709">
        <f>D29+1/10000000</f>
        <v>9.9999999999999995E-8</v>
      </c>
      <c r="E53" s="710"/>
      <c r="F53" s="900"/>
      <c r="G53" s="87">
        <f t="shared" si="22"/>
        <v>3</v>
      </c>
      <c r="H53" s="88" t="str">
        <f t="shared" si="23"/>
        <v>3eme C</v>
      </c>
      <c r="I53" s="88">
        <f>K33-J33+K34-J34</f>
        <v>0</v>
      </c>
      <c r="J53" s="709">
        <f>J29+1/10000000</f>
        <v>9.9999999999999995E-8</v>
      </c>
      <c r="K53" s="710"/>
      <c r="L53" s="89"/>
      <c r="M53" s="87">
        <f t="shared" si="24"/>
        <v>3</v>
      </c>
      <c r="N53" s="88" t="str">
        <f t="shared" si="25"/>
        <v>2eme C</v>
      </c>
      <c r="O53" s="88">
        <f>Q33-P33+Q34-P34</f>
        <v>0</v>
      </c>
      <c r="P53" s="709">
        <f>P29+1/10000000</f>
        <v>9.9999999999999995E-8</v>
      </c>
      <c r="Q53" s="710"/>
      <c r="R53" s="47"/>
      <c r="S53" s="87">
        <f t="shared" si="26"/>
        <v>3</v>
      </c>
      <c r="T53" s="88" t="str">
        <f t="shared" si="27"/>
        <v>1er C</v>
      </c>
      <c r="U53" s="88">
        <f>W33-V33+W34-V34</f>
        <v>0</v>
      </c>
      <c r="V53" s="709">
        <f>V29+1/10000000</f>
        <v>9.9999999999999995E-8</v>
      </c>
      <c r="W53" s="710"/>
    </row>
    <row r="54" spans="1:23" hidden="1" x14ac:dyDescent="0.25">
      <c r="A54" s="700"/>
      <c r="B54" s="700"/>
      <c r="C54" s="700"/>
      <c r="D54" s="700"/>
      <c r="E54" s="700"/>
      <c r="F54" s="700"/>
      <c r="G54" s="700"/>
      <c r="H54" s="700"/>
      <c r="I54" s="700"/>
      <c r="J54" s="700"/>
      <c r="K54" s="700"/>
      <c r="L54" s="700"/>
      <c r="M54" s="700"/>
      <c r="N54" s="700"/>
      <c r="O54" s="700"/>
      <c r="P54" s="700"/>
      <c r="Q54" s="700"/>
    </row>
    <row r="55" spans="1:23" hidden="1" x14ac:dyDescent="0.25">
      <c r="A55" s="1">
        <f>IF(D14="",0,(IF(D14&gt;E14,3,IF(D14=E14,1,0))))</f>
        <v>0</v>
      </c>
      <c r="B55" s="1">
        <f>IF(E14="",0,(IF(E14&gt;D14,3,IF(E14=D14,1,0))))</f>
        <v>0</v>
      </c>
      <c r="G55" s="1">
        <f>IF(J14="",0,(IF(J14&gt;K14,3,IF(J14=K14,1,0))))</f>
        <v>0</v>
      </c>
      <c r="H55" s="1">
        <f>IF(K14="",0,(IF(K14&gt;J14,3,IF(K14=J14,1,0))))</f>
        <v>0</v>
      </c>
      <c r="M55" s="1">
        <f>IF(P14="",0,(IF(P14&gt;Q14,3,IF(P14=Q14,1,0))))</f>
        <v>0</v>
      </c>
      <c r="N55" s="1">
        <f>IF(Q14="",0,(IF(Q14&gt;P14,3,IF(Q14=P14,1,0))))</f>
        <v>0</v>
      </c>
    </row>
    <row r="56" spans="1:23" hidden="1" x14ac:dyDescent="0.25">
      <c r="A56" s="1">
        <f>IF(D15="",0,(IF(D15&gt;E15,3,IF(D15=E15,1,0))))</f>
        <v>0</v>
      </c>
      <c r="B56" s="1">
        <f>IF(E15="",0,(IF(E15&gt;D15,3,IF(E15=D15,1,0))))</f>
        <v>0</v>
      </c>
      <c r="G56" s="1">
        <f>IF(J15="",0,(IF(J15&gt;K15,3,IF(J15=K15,1,0))))</f>
        <v>0</v>
      </c>
      <c r="H56" s="1">
        <f>IF(K15="",0,(IF(K15&gt;J15,3,IF(K15=J15,1,0))))</f>
        <v>0</v>
      </c>
      <c r="M56" s="1">
        <f>IF(P15="",0,(IF(P15&gt;Q15,3,IF(P15=Q15,1,0))))</f>
        <v>0</v>
      </c>
      <c r="N56" s="1">
        <f>IF(Q15="",0,(IF(Q15&gt;P15,3,IF(Q15=P15,1,0))))</f>
        <v>0</v>
      </c>
    </row>
    <row r="57" spans="1:23" hidden="1" x14ac:dyDescent="0.25"/>
    <row r="58" spans="1:23" hidden="1" x14ac:dyDescent="0.25"/>
    <row r="59" spans="1:23" hidden="1" x14ac:dyDescent="0.25">
      <c r="A59" s="1">
        <f>IF(D18="",0,(IF(D18&gt;E18,3,IF(D18=E18,1,0))))</f>
        <v>0</v>
      </c>
      <c r="B59" s="1">
        <f>IF(E18="",0,(IF(E18&gt;D18,3,IF(E18=D18,1,0))))</f>
        <v>0</v>
      </c>
      <c r="G59" s="1">
        <f>IF(J18="",0,(IF(J18&gt;K18,3,IF(J18=K18,1,0))))</f>
        <v>0</v>
      </c>
      <c r="H59" s="1">
        <f>IF(K18="",0,(IF(K18&gt;J18,3,IF(K18=J18,1,0))))</f>
        <v>0</v>
      </c>
      <c r="M59" s="1">
        <f>IF(P18="",0,(IF(P18&gt;Q18,3,IF(P18=Q18,1,0))))</f>
        <v>0</v>
      </c>
      <c r="N59" s="1">
        <f>IF(Q18="",0,(IF(Q18&gt;P18,3,IF(Q18=P18,1,0))))</f>
        <v>0</v>
      </c>
    </row>
    <row r="60" spans="1:23" hidden="1" x14ac:dyDescent="0.25">
      <c r="A60" s="1">
        <f>IF(D19="",0,(IF(D19&gt;E19,3,IF(D19=E19,1,0))))</f>
        <v>0</v>
      </c>
      <c r="B60" s="1">
        <f>IF(E19="",0,(IF(E19&gt;D19,3,IF(E19=D19,1,0))))</f>
        <v>0</v>
      </c>
      <c r="G60" s="1">
        <f>IF(J19="",0,(IF(J19&gt;K19,3,IF(J19=K19,1,0))))</f>
        <v>0</v>
      </c>
      <c r="H60" s="1">
        <f>IF(K19="",0,(IF(K19&gt;J19,3,IF(K19=J19,1,0))))</f>
        <v>0</v>
      </c>
      <c r="M60" s="1">
        <f>IF(P19="",0,(IF(P19&gt;Q19,3,IF(P19=Q19,1,0))))</f>
        <v>0</v>
      </c>
      <c r="N60" s="1">
        <f>IF(Q19="",0,(IF(Q19&gt;P19,3,IF(Q19=P19,1,0))))</f>
        <v>0</v>
      </c>
    </row>
    <row r="61" spans="1:23" hidden="1" x14ac:dyDescent="0.25"/>
    <row r="62" spans="1:23" hidden="1" x14ac:dyDescent="0.25"/>
    <row r="63" spans="1:23" hidden="1" x14ac:dyDescent="0.25">
      <c r="A63" s="1">
        <f>IF(D22="",0,(IF(D22&gt;E22,3,IF(D22=E22,1,0))))</f>
        <v>0</v>
      </c>
      <c r="B63" s="1">
        <f>IF(E22="",0,(IF(E22&gt;D22,3,IF(E22=D22,1,0))))</f>
        <v>0</v>
      </c>
      <c r="G63" s="1">
        <f>IF(J22="",0,(IF(J22&gt;K22,3,IF(J22=K22,1,0))))</f>
        <v>0</v>
      </c>
      <c r="H63" s="1">
        <f>IF(K22="",0,(IF(K22&gt;J22,3,IF(K22=J22,1,0))))</f>
        <v>0</v>
      </c>
      <c r="M63" s="1">
        <f>IF(P22="",0,(IF(P22&gt;Q22,3,IF(P22=Q22,1,0))))</f>
        <v>0</v>
      </c>
      <c r="N63" s="1">
        <f>IF(Q22="",0,(IF(Q22&gt;P22,3,IF(Q22=P22,1,0))))</f>
        <v>0</v>
      </c>
    </row>
    <row r="64" spans="1:23" hidden="1" x14ac:dyDescent="0.25">
      <c r="A64" s="1">
        <f>IF(D23="",0,(IF(D23&gt;E23,3,IF(D23=E23,1,0))))</f>
        <v>0</v>
      </c>
      <c r="B64" s="1">
        <f>IF(E23="",0,(IF(E23&gt;D23,3,IF(E23=D23,1,0))))</f>
        <v>0</v>
      </c>
      <c r="G64" s="1">
        <f>IF(J23="",0,(IF(J23&gt;K23,3,IF(J23=K23,1,0))))</f>
        <v>0</v>
      </c>
      <c r="H64" s="1">
        <f>IF(K23="",0,(IF(K23&gt;J23,3,IF(K23=J23,1,0))))</f>
        <v>0</v>
      </c>
      <c r="M64" s="1">
        <f>IF(P23="",0,(IF(P23&gt;Q23,3,IF(P23=Q23,1,0))))</f>
        <v>0</v>
      </c>
      <c r="N64" s="1">
        <f>IF(Q23="",0,(IF(Q23&gt;P23,3,IF(Q23=P23,1,0))))</f>
        <v>0</v>
      </c>
    </row>
    <row r="65" spans="1:20" hidden="1" x14ac:dyDescent="0.25"/>
    <row r="66" spans="1:20" hidden="1" x14ac:dyDescent="0.25"/>
    <row r="67" spans="1:20" hidden="1" x14ac:dyDescent="0.25">
      <c r="A67" s="1">
        <f>IF(D32="",0,(IF(D32&gt;E32,3,IF(D32=E32,1,0))))</f>
        <v>0</v>
      </c>
      <c r="B67" s="1">
        <f>IF(E32="",0,(IF(E32&gt;D32,3,IF(E32=D32,1,0))))</f>
        <v>0</v>
      </c>
      <c r="G67" s="1">
        <f>IF(J32="",0,(IF(J32&gt;K32,3,IF(J32=K32,1,0))))</f>
        <v>0</v>
      </c>
      <c r="H67" s="1">
        <f>IF(K32="",0,(IF(K32&gt;J32,3,IF(K32=J32,1,0))))</f>
        <v>0</v>
      </c>
      <c r="M67" s="1">
        <f>IF(P32="",0,(IF(P32&gt;Q32,3,IF(P32=Q32,1,0))))</f>
        <v>0</v>
      </c>
      <c r="N67" s="1">
        <f>IF(Q32="",0,(IF(Q32&gt;P32,3,IF(Q32=P32,1,0))))</f>
        <v>0</v>
      </c>
      <c r="S67" s="1">
        <f>IF(V32="",0,(IF(V32&gt;W32,3,IF(V32=W32,1,0))))</f>
        <v>0</v>
      </c>
      <c r="T67" s="1">
        <f>IF(W32="",0,(IF(W32&gt;V32,3,IF(W32=V32,1,0))))</f>
        <v>0</v>
      </c>
    </row>
    <row r="68" spans="1:20" hidden="1" x14ac:dyDescent="0.25">
      <c r="A68" s="1">
        <f>IF(D33="",0,(IF(D33&gt;E33,3,IF(D33=E33,1,0))))</f>
        <v>0</v>
      </c>
      <c r="B68" s="1">
        <f>IF(E33="",0,(IF(E33&gt;D33,3,IF(E33=D33,1,0))))</f>
        <v>0</v>
      </c>
      <c r="G68" s="1">
        <f>IF(J33="",0,(IF(J33&gt;K33,3,IF(J33=K33,1,0))))</f>
        <v>0</v>
      </c>
      <c r="H68" s="1">
        <f>IF(K33="",0,(IF(K33&gt;J33,3,IF(K33=J33,1,0))))</f>
        <v>0</v>
      </c>
      <c r="M68" s="1">
        <f>IF(P33="",0,(IF(P33&gt;Q33,3,IF(P33=Q33,1,0))))</f>
        <v>0</v>
      </c>
      <c r="N68" s="1">
        <f>IF(Q33="",0,(IF(Q33&gt;P33,3,IF(Q33=P33,1,0))))</f>
        <v>0</v>
      </c>
      <c r="S68" s="1">
        <f>IF(V33="",0,(IF(V33&gt;W33,3,IF(V33=W33,1,0))))</f>
        <v>0</v>
      </c>
      <c r="T68" s="1">
        <f>IF(W33="",0,(IF(W33&gt;V33,3,IF(W33=V33,1,0))))</f>
        <v>0</v>
      </c>
    </row>
    <row r="69" spans="1:20" hidden="1" x14ac:dyDescent="0.25">
      <c r="A69" s="1">
        <f>IF(D34="",0,(IF(D34&gt;E34,3,IF(D34=E34,1,0))))</f>
        <v>0</v>
      </c>
      <c r="B69" s="1">
        <f>IF(E34="",0,(IF(E34&gt;D34,3,IF(E34=D34,1,0))))</f>
        <v>0</v>
      </c>
      <c r="G69" s="1">
        <f>IF(J34="",0,(IF(J34&gt;K34,3,IF(J34=K34,1,0))))</f>
        <v>0</v>
      </c>
      <c r="H69" s="1">
        <f>IF(K34="",0,(IF(K34&gt;J34,3,IF(K34=J34,1,0))))</f>
        <v>0</v>
      </c>
      <c r="M69" s="1">
        <f>IF(P34="",0,(IF(P34&gt;Q34,3,IF(P34=Q34,1,0))))</f>
        <v>0</v>
      </c>
      <c r="N69" s="1">
        <f>IF(Q34="",0,(IF(Q34&gt;P34,3,IF(Q34=P34,1,0))))</f>
        <v>0</v>
      </c>
      <c r="S69" s="1">
        <f>IF(V34="",0,(IF(V34&gt;W34,3,IF(V34=W34,1,0))))</f>
        <v>0</v>
      </c>
      <c r="T69" s="1">
        <f>IF(W34="",0,(IF(W34&gt;V34,3,IF(W34=V34,1,0))))</f>
        <v>0</v>
      </c>
    </row>
    <row r="70" spans="1:20" hidden="1" x14ac:dyDescent="0.25"/>
    <row r="71" spans="1:20" hidden="1" x14ac:dyDescent="0.25"/>
    <row r="72" spans="1:20" hidden="1" x14ac:dyDescent="0.25"/>
    <row r="73" spans="1:20" hidden="1" x14ac:dyDescent="0.25"/>
    <row r="74" spans="1:20" hidden="1" x14ac:dyDescent="0.25"/>
    <row r="75" spans="1:20" hidden="1" x14ac:dyDescent="0.25"/>
    <row r="76" spans="1:20" hidden="1" x14ac:dyDescent="0.25"/>
  </sheetData>
  <sheetProtection sheet="1" scenarios="1" selectLockedCells="1"/>
  <mergeCells count="221">
    <mergeCell ref="A54:Q54"/>
    <mergeCell ref="D52:E52"/>
    <mergeCell ref="J52:K52"/>
    <mergeCell ref="P52:Q52"/>
    <mergeCell ref="V52:W52"/>
    <mergeCell ref="D53:E53"/>
    <mergeCell ref="J53:K53"/>
    <mergeCell ref="P53:Q53"/>
    <mergeCell ref="V53:W53"/>
    <mergeCell ref="D51:E51"/>
    <mergeCell ref="J51:K51"/>
    <mergeCell ref="P51:Q51"/>
    <mergeCell ref="V51:W51"/>
    <mergeCell ref="D48:E48"/>
    <mergeCell ref="J48:K48"/>
    <mergeCell ref="P48:Q48"/>
    <mergeCell ref="V48:W48"/>
    <mergeCell ref="A49:W49"/>
    <mergeCell ref="B50:C50"/>
    <mergeCell ref="D50:E50"/>
    <mergeCell ref="F50:F53"/>
    <mergeCell ref="H50:I50"/>
    <mergeCell ref="J50:K50"/>
    <mergeCell ref="N44:O44"/>
    <mergeCell ref="P44:Q44"/>
    <mergeCell ref="T44:U44"/>
    <mergeCell ref="V44:W44"/>
    <mergeCell ref="D45:E45"/>
    <mergeCell ref="J45:K45"/>
    <mergeCell ref="P45:Q45"/>
    <mergeCell ref="V45:W45"/>
    <mergeCell ref="N50:O50"/>
    <mergeCell ref="P50:Q50"/>
    <mergeCell ref="T50:U50"/>
    <mergeCell ref="V50:W50"/>
    <mergeCell ref="T40:U40"/>
    <mergeCell ref="V40:W40"/>
    <mergeCell ref="A41:W41"/>
    <mergeCell ref="U42:W42"/>
    <mergeCell ref="A43:Q43"/>
    <mergeCell ref="B44:C44"/>
    <mergeCell ref="D44:E44"/>
    <mergeCell ref="F44:F48"/>
    <mergeCell ref="H44:I44"/>
    <mergeCell ref="J44:K44"/>
    <mergeCell ref="B40:C40"/>
    <mergeCell ref="D40:E40"/>
    <mergeCell ref="H40:I40"/>
    <mergeCell ref="J40:K40"/>
    <mergeCell ref="N40:O40"/>
    <mergeCell ref="P40:Q40"/>
    <mergeCell ref="D46:E46"/>
    <mergeCell ref="J46:K46"/>
    <mergeCell ref="P46:Q46"/>
    <mergeCell ref="V46:W46"/>
    <mergeCell ref="D47:E47"/>
    <mergeCell ref="J47:K47"/>
    <mergeCell ref="P47:Q47"/>
    <mergeCell ref="V47:W47"/>
    <mergeCell ref="N38:O38"/>
    <mergeCell ref="P38:Q38"/>
    <mergeCell ref="T38:U38"/>
    <mergeCell ref="V38:W38"/>
    <mergeCell ref="B39:C39"/>
    <mergeCell ref="D39:E39"/>
    <mergeCell ref="H39:I39"/>
    <mergeCell ref="J39:K39"/>
    <mergeCell ref="N39:O39"/>
    <mergeCell ref="P39:Q39"/>
    <mergeCell ref="T39:U39"/>
    <mergeCell ref="V39:W39"/>
    <mergeCell ref="T31:U31"/>
    <mergeCell ref="V31:W31"/>
    <mergeCell ref="A36:W36"/>
    <mergeCell ref="B37:C37"/>
    <mergeCell ref="D37:E37"/>
    <mergeCell ref="F37:F40"/>
    <mergeCell ref="H37:I37"/>
    <mergeCell ref="J37:K37"/>
    <mergeCell ref="L37:L40"/>
    <mergeCell ref="N37:O37"/>
    <mergeCell ref="B31:C31"/>
    <mergeCell ref="D31:E31"/>
    <mergeCell ref="H31:I31"/>
    <mergeCell ref="J31:K31"/>
    <mergeCell ref="N31:O31"/>
    <mergeCell ref="P31:Q31"/>
    <mergeCell ref="P37:Q37"/>
    <mergeCell ref="R37:R40"/>
    <mergeCell ref="T37:U37"/>
    <mergeCell ref="V37:W37"/>
    <mergeCell ref="B38:C38"/>
    <mergeCell ref="D38:E38"/>
    <mergeCell ref="H38:I38"/>
    <mergeCell ref="J38:K38"/>
    <mergeCell ref="B29:C29"/>
    <mergeCell ref="D29:E29"/>
    <mergeCell ref="H29:I29"/>
    <mergeCell ref="J29:K29"/>
    <mergeCell ref="N29:O29"/>
    <mergeCell ref="P29:Q29"/>
    <mergeCell ref="T29:U29"/>
    <mergeCell ref="V29:W29"/>
    <mergeCell ref="B28:C28"/>
    <mergeCell ref="D28:E28"/>
    <mergeCell ref="H28:I28"/>
    <mergeCell ref="J28:K28"/>
    <mergeCell ref="N28:O28"/>
    <mergeCell ref="P28:Q28"/>
    <mergeCell ref="B27:C27"/>
    <mergeCell ref="D27:E27"/>
    <mergeCell ref="H27:I27"/>
    <mergeCell ref="J27:K27"/>
    <mergeCell ref="N27:O27"/>
    <mergeCell ref="P27:Q27"/>
    <mergeCell ref="T27:U27"/>
    <mergeCell ref="V27:W27"/>
    <mergeCell ref="T28:U28"/>
    <mergeCell ref="V28:W28"/>
    <mergeCell ref="A25:H25"/>
    <mergeCell ref="J25:L25"/>
    <mergeCell ref="Q25:W25"/>
    <mergeCell ref="B26:C26"/>
    <mergeCell ref="D26:E26"/>
    <mergeCell ref="H26:I26"/>
    <mergeCell ref="J26:K26"/>
    <mergeCell ref="N26:O26"/>
    <mergeCell ref="P26:Q26"/>
    <mergeCell ref="T26:U26"/>
    <mergeCell ref="V26:W26"/>
    <mergeCell ref="T21:U21"/>
    <mergeCell ref="V21:W21"/>
    <mergeCell ref="T22:U22"/>
    <mergeCell ref="V22:W22"/>
    <mergeCell ref="T23:U23"/>
    <mergeCell ref="V23:W23"/>
    <mergeCell ref="B21:C21"/>
    <mergeCell ref="D21:E21"/>
    <mergeCell ref="H21:I21"/>
    <mergeCell ref="J21:K21"/>
    <mergeCell ref="N21:O21"/>
    <mergeCell ref="P21:Q21"/>
    <mergeCell ref="T17:U17"/>
    <mergeCell ref="V17:W17"/>
    <mergeCell ref="T19:U19"/>
    <mergeCell ref="V19:W19"/>
    <mergeCell ref="T20:U20"/>
    <mergeCell ref="V20:W20"/>
    <mergeCell ref="B17:C17"/>
    <mergeCell ref="D17:E17"/>
    <mergeCell ref="H17:I17"/>
    <mergeCell ref="J17:K17"/>
    <mergeCell ref="N17:O17"/>
    <mergeCell ref="P17:Q17"/>
    <mergeCell ref="T14:U14"/>
    <mergeCell ref="V14:W14"/>
    <mergeCell ref="T15:U15"/>
    <mergeCell ref="V15:W15"/>
    <mergeCell ref="T16:U16"/>
    <mergeCell ref="V16:W16"/>
    <mergeCell ref="T11:U11"/>
    <mergeCell ref="V11:W11"/>
    <mergeCell ref="B13:C13"/>
    <mergeCell ref="D13:E13"/>
    <mergeCell ref="H13:I13"/>
    <mergeCell ref="J13:K13"/>
    <mergeCell ref="N13:O13"/>
    <mergeCell ref="P13:Q13"/>
    <mergeCell ref="T13:U13"/>
    <mergeCell ref="V13:W13"/>
    <mergeCell ref="B11:C11"/>
    <mergeCell ref="D11:E11"/>
    <mergeCell ref="H11:I11"/>
    <mergeCell ref="J11:K11"/>
    <mergeCell ref="N11:O11"/>
    <mergeCell ref="P11:Q11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B8:C8"/>
    <mergeCell ref="D8:E8"/>
    <mergeCell ref="H8:I8"/>
    <mergeCell ref="J8:K8"/>
    <mergeCell ref="N8:O8"/>
    <mergeCell ref="P8:Q8"/>
    <mergeCell ref="T8:U8"/>
    <mergeCell ref="V8:W8"/>
    <mergeCell ref="T9:U9"/>
    <mergeCell ref="V9:W9"/>
    <mergeCell ref="A6:H6"/>
    <mergeCell ref="J6:L6"/>
    <mergeCell ref="P6:Q6"/>
    <mergeCell ref="S6:W6"/>
    <mergeCell ref="B7:C7"/>
    <mergeCell ref="D7:E7"/>
    <mergeCell ref="H7:I7"/>
    <mergeCell ref="J7:K7"/>
    <mergeCell ref="N7:O7"/>
    <mergeCell ref="P7:Q7"/>
    <mergeCell ref="T7:U7"/>
    <mergeCell ref="V7:W7"/>
    <mergeCell ref="A1:T1"/>
    <mergeCell ref="U1:W5"/>
    <mergeCell ref="A3:I3"/>
    <mergeCell ref="E4:G4"/>
    <mergeCell ref="I4:K4"/>
    <mergeCell ref="L4:M4"/>
    <mergeCell ref="E5:G5"/>
    <mergeCell ref="L5:M5"/>
    <mergeCell ref="R5:S5"/>
  </mergeCells>
  <printOptions horizontalCentered="1"/>
  <pageMargins left="0.11811023622047245" right="0.11811023622047245" top="0.15748031496062992" bottom="0.19685039370078741" header="0.11811023622047245" footer="0.11811023622047245"/>
  <pageSetup paperSize="9" scale="83" orientation="landscape" horizontalDpi="300" verticalDpi="30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74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246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811"/>
      <c r="V1" s="812"/>
      <c r="W1" s="813"/>
    </row>
    <row r="2" spans="1:23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814"/>
      <c r="V2" s="815"/>
      <c r="W2" s="816"/>
    </row>
    <row r="3" spans="1:23" ht="24.95" customHeight="1" thickBot="1" x14ac:dyDescent="0.3">
      <c r="A3" s="263" t="s">
        <v>193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814"/>
      <c r="V3" s="815"/>
      <c r="W3" s="816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408"/>
      <c r="I4" s="741" t="s">
        <v>54</v>
      </c>
      <c r="J4" s="741"/>
      <c r="K4" s="741"/>
      <c r="L4" s="742">
        <f>(3*J6)+(3*J34)</f>
        <v>6.25E-2</v>
      </c>
      <c r="M4" s="742"/>
      <c r="N4" s="264" t="s">
        <v>33</v>
      </c>
      <c r="O4" s="319"/>
      <c r="P4" s="200"/>
      <c r="Q4" s="200"/>
      <c r="R4" s="200"/>
      <c r="S4" s="200"/>
      <c r="T4" s="201"/>
      <c r="U4" s="814"/>
      <c r="V4" s="815"/>
      <c r="W4" s="816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S48-A15+J34+"00:02"</f>
        <v>0.33124999999999943</v>
      </c>
      <c r="F5" s="810"/>
      <c r="G5" s="810"/>
      <c r="H5" s="215"/>
      <c r="I5" s="216" t="s">
        <v>79</v>
      </c>
      <c r="J5" s="216"/>
      <c r="K5" s="216"/>
      <c r="L5" s="687">
        <v>0</v>
      </c>
      <c r="M5" s="688"/>
      <c r="N5" s="215"/>
      <c r="O5" s="216" t="s">
        <v>242</v>
      </c>
      <c r="P5" s="216"/>
      <c r="Q5" s="216"/>
      <c r="R5" s="687">
        <v>3.472222222222222E-3</v>
      </c>
      <c r="S5" s="688"/>
      <c r="T5" s="320"/>
      <c r="U5" s="817"/>
      <c r="V5" s="818"/>
      <c r="W5" s="819"/>
    </row>
    <row r="6" spans="1:23" ht="16.5" thickBot="1" x14ac:dyDescent="0.3">
      <c r="A6" s="701" t="s">
        <v>35</v>
      </c>
      <c r="B6" s="685"/>
      <c r="C6" s="685"/>
      <c r="D6" s="685"/>
      <c r="E6" s="685"/>
      <c r="F6" s="685"/>
      <c r="G6" s="685"/>
      <c r="H6" s="685"/>
      <c r="I6" s="410" t="s">
        <v>18</v>
      </c>
      <c r="J6" s="782">
        <v>1.0416666666666666E-2</v>
      </c>
      <c r="K6" s="782"/>
      <c r="L6" s="782"/>
      <c r="M6" s="425" t="s">
        <v>17</v>
      </c>
      <c r="N6" s="410"/>
      <c r="O6" s="686"/>
      <c r="P6" s="686"/>
      <c r="Q6" s="686"/>
      <c r="R6" s="686"/>
      <c r="S6" s="686"/>
      <c r="T6" s="686"/>
      <c r="U6" s="686"/>
      <c r="V6" s="686"/>
      <c r="W6" s="781"/>
    </row>
    <row r="7" spans="1:23" ht="16.5" thickBot="1" x14ac:dyDescent="0.3">
      <c r="A7" s="780" t="s">
        <v>87</v>
      </c>
      <c r="B7" s="686"/>
      <c r="C7" s="686"/>
      <c r="D7" s="686"/>
      <c r="E7" s="686"/>
      <c r="F7" s="686"/>
      <c r="G7" s="686"/>
      <c r="H7" s="686"/>
      <c r="I7" s="686"/>
      <c r="J7" s="686"/>
      <c r="K7" s="781"/>
      <c r="L7" s="446"/>
      <c r="M7" s="780" t="s">
        <v>88</v>
      </c>
      <c r="N7" s="686"/>
      <c r="O7" s="686"/>
      <c r="P7" s="686"/>
      <c r="Q7" s="686"/>
      <c r="R7" s="686"/>
      <c r="S7" s="686"/>
      <c r="T7" s="686"/>
      <c r="U7" s="686"/>
      <c r="V7" s="686"/>
      <c r="W7" s="781"/>
    </row>
    <row r="8" spans="1:23" x14ac:dyDescent="0.25">
      <c r="A8" s="6"/>
      <c r="B8" s="744" t="s">
        <v>41</v>
      </c>
      <c r="C8" s="745"/>
      <c r="D8" s="744" t="s">
        <v>15</v>
      </c>
      <c r="E8" s="746"/>
      <c r="F8" s="102"/>
      <c r="G8" s="7"/>
      <c r="H8" s="747" t="s">
        <v>42</v>
      </c>
      <c r="I8" s="748"/>
      <c r="J8" s="747" t="s">
        <v>15</v>
      </c>
      <c r="K8" s="749"/>
      <c r="L8" s="76"/>
      <c r="M8" s="8"/>
      <c r="N8" s="804" t="s">
        <v>43</v>
      </c>
      <c r="O8" s="805"/>
      <c r="P8" s="804" t="s">
        <v>15</v>
      </c>
      <c r="Q8" s="806"/>
      <c r="R8" s="2"/>
      <c r="S8" s="9"/>
      <c r="T8" s="807" t="s">
        <v>55</v>
      </c>
      <c r="U8" s="808"/>
      <c r="V8" s="807" t="s">
        <v>15</v>
      </c>
      <c r="W8" s="809"/>
    </row>
    <row r="9" spans="1:23" x14ac:dyDescent="0.25">
      <c r="A9" s="10">
        <v>1</v>
      </c>
      <c r="B9" s="731" t="s">
        <v>22</v>
      </c>
      <c r="C9" s="732"/>
      <c r="D9" s="725">
        <f>A65+A69+A73+C60/1000000</f>
        <v>0</v>
      </c>
      <c r="E9" s="726"/>
      <c r="F9" s="103"/>
      <c r="G9" s="11">
        <v>1</v>
      </c>
      <c r="H9" s="727" t="s">
        <v>26</v>
      </c>
      <c r="I9" s="728"/>
      <c r="J9" s="729">
        <f>G65+G69+G73+I60/1000000</f>
        <v>0</v>
      </c>
      <c r="K9" s="730"/>
      <c r="L9" s="76"/>
      <c r="M9" s="12">
        <v>1</v>
      </c>
      <c r="N9" s="800" t="s">
        <v>37</v>
      </c>
      <c r="O9" s="801"/>
      <c r="P9" s="802">
        <f>M65+M69+M73+O60/1000000</f>
        <v>0</v>
      </c>
      <c r="Q9" s="803"/>
      <c r="R9" s="2"/>
      <c r="S9" s="13">
        <v>1</v>
      </c>
      <c r="T9" s="796" t="s">
        <v>56</v>
      </c>
      <c r="U9" s="797"/>
      <c r="V9" s="798">
        <f>S65+S69+S73+U60/1000000</f>
        <v>0</v>
      </c>
      <c r="W9" s="799"/>
    </row>
    <row r="10" spans="1:23" x14ac:dyDescent="0.25">
      <c r="A10" s="10">
        <v>2</v>
      </c>
      <c r="B10" s="731" t="s">
        <v>23</v>
      </c>
      <c r="C10" s="732"/>
      <c r="D10" s="725">
        <f>B65+A70+A74+C61/1000000</f>
        <v>0</v>
      </c>
      <c r="E10" s="726"/>
      <c r="F10" s="103"/>
      <c r="G10" s="11">
        <v>2</v>
      </c>
      <c r="H10" s="727" t="s">
        <v>27</v>
      </c>
      <c r="I10" s="728"/>
      <c r="J10" s="729">
        <f>H65+G70+G74+I61/1000000</f>
        <v>0</v>
      </c>
      <c r="K10" s="730"/>
      <c r="L10" s="76"/>
      <c r="M10" s="12">
        <v>2</v>
      </c>
      <c r="N10" s="800" t="s">
        <v>38</v>
      </c>
      <c r="O10" s="801"/>
      <c r="P10" s="802">
        <f>N65+M70+M74+O61/1000000</f>
        <v>0</v>
      </c>
      <c r="Q10" s="803"/>
      <c r="R10" s="2"/>
      <c r="S10" s="13">
        <v>2</v>
      </c>
      <c r="T10" s="796" t="s">
        <v>57</v>
      </c>
      <c r="U10" s="797"/>
      <c r="V10" s="798">
        <f>T65+S70+S74+U61/1000000</f>
        <v>0</v>
      </c>
      <c r="W10" s="799"/>
    </row>
    <row r="11" spans="1:23" x14ac:dyDescent="0.25">
      <c r="A11" s="10">
        <v>3</v>
      </c>
      <c r="B11" s="731" t="s">
        <v>24</v>
      </c>
      <c r="C11" s="732"/>
      <c r="D11" s="725">
        <f>A66+B69+B74+C62/1000000</f>
        <v>0</v>
      </c>
      <c r="E11" s="726"/>
      <c r="F11" s="103"/>
      <c r="G11" s="11">
        <v>3</v>
      </c>
      <c r="H11" s="727" t="s">
        <v>28</v>
      </c>
      <c r="I11" s="728"/>
      <c r="J11" s="729">
        <f>G66+H69+H74+I62/1000000</f>
        <v>0</v>
      </c>
      <c r="K11" s="730"/>
      <c r="L11" s="76"/>
      <c r="M11" s="12">
        <v>3</v>
      </c>
      <c r="N11" s="800" t="s">
        <v>39</v>
      </c>
      <c r="O11" s="801"/>
      <c r="P11" s="802">
        <f>M66+N69+N74+O62/1000000</f>
        <v>0</v>
      </c>
      <c r="Q11" s="803"/>
      <c r="R11" s="2"/>
      <c r="S11" s="13">
        <v>3</v>
      </c>
      <c r="T11" s="796" t="s">
        <v>58</v>
      </c>
      <c r="U11" s="797"/>
      <c r="V11" s="798">
        <f>S66+T69+T74+U62/1000000</f>
        <v>0</v>
      </c>
      <c r="W11" s="799"/>
    </row>
    <row r="12" spans="1:23" ht="15.75" thickBot="1" x14ac:dyDescent="0.3">
      <c r="A12" s="15">
        <v>4</v>
      </c>
      <c r="B12" s="717" t="s">
        <v>25</v>
      </c>
      <c r="C12" s="718"/>
      <c r="D12" s="719">
        <f>B66+B70+B73+C63/1000000</f>
        <v>0</v>
      </c>
      <c r="E12" s="720"/>
      <c r="F12" s="103"/>
      <c r="G12" s="16">
        <v>4</v>
      </c>
      <c r="H12" s="721" t="s">
        <v>29</v>
      </c>
      <c r="I12" s="722"/>
      <c r="J12" s="723">
        <f>H66+H70+H73+I63/1000000</f>
        <v>0</v>
      </c>
      <c r="K12" s="724"/>
      <c r="L12" s="76"/>
      <c r="M12" s="17">
        <v>4</v>
      </c>
      <c r="N12" s="792" t="s">
        <v>40</v>
      </c>
      <c r="O12" s="793"/>
      <c r="P12" s="794">
        <f>N66+N70+N73+O63/1000000</f>
        <v>0</v>
      </c>
      <c r="Q12" s="795"/>
      <c r="R12" s="2"/>
      <c r="S12" s="18">
        <v>4</v>
      </c>
      <c r="T12" s="788" t="s">
        <v>59</v>
      </c>
      <c r="U12" s="789"/>
      <c r="V12" s="790">
        <f>T66+T70+T73+U63/1000000</f>
        <v>0</v>
      </c>
      <c r="W12" s="791"/>
    </row>
    <row r="13" spans="1:23" ht="5.0999999999999996" customHeight="1" thickBot="1" x14ac:dyDescent="0.3">
      <c r="A13" s="19"/>
      <c r="B13" s="2"/>
      <c r="C13" s="2"/>
      <c r="D13" s="2"/>
      <c r="E13" s="2"/>
      <c r="F13" s="2"/>
      <c r="G13" s="2"/>
      <c r="H13" s="2"/>
      <c r="I13" s="22"/>
      <c r="J13" s="2"/>
      <c r="K13" s="2"/>
      <c r="L13" s="85"/>
      <c r="M13" s="2"/>
      <c r="N13" s="2"/>
      <c r="O13" s="2"/>
      <c r="P13" s="2"/>
      <c r="Q13" s="2"/>
      <c r="R13" s="2"/>
      <c r="S13" s="2"/>
      <c r="T13" s="2"/>
      <c r="U13" s="2"/>
      <c r="V13" s="2"/>
      <c r="W13" s="21"/>
    </row>
    <row r="14" spans="1:23" s="29" customFormat="1" x14ac:dyDescent="0.25">
      <c r="A14" s="24"/>
      <c r="B14" s="713" t="s">
        <v>5</v>
      </c>
      <c r="C14" s="713"/>
      <c r="D14" s="713" t="s">
        <v>16</v>
      </c>
      <c r="E14" s="714"/>
      <c r="F14" s="25"/>
      <c r="G14" s="26"/>
      <c r="H14" s="715" t="s">
        <v>5</v>
      </c>
      <c r="I14" s="715"/>
      <c r="J14" s="715" t="s">
        <v>16</v>
      </c>
      <c r="K14" s="716"/>
      <c r="L14" s="77"/>
      <c r="M14" s="27"/>
      <c r="N14" s="786" t="s">
        <v>5</v>
      </c>
      <c r="O14" s="786"/>
      <c r="P14" s="786" t="s">
        <v>16</v>
      </c>
      <c r="Q14" s="787"/>
      <c r="R14" s="25"/>
      <c r="S14" s="28"/>
      <c r="T14" s="784" t="s">
        <v>5</v>
      </c>
      <c r="U14" s="784"/>
      <c r="V14" s="784" t="s">
        <v>16</v>
      </c>
      <c r="W14" s="785"/>
    </row>
    <row r="15" spans="1:23" x14ac:dyDescent="0.25">
      <c r="A15" s="30">
        <f>E4</f>
        <v>0.375</v>
      </c>
      <c r="B15" s="31" t="str">
        <f>B9</f>
        <v>Equipe 1</v>
      </c>
      <c r="C15" s="31" t="str">
        <f>B10</f>
        <v>Equipe 2</v>
      </c>
      <c r="D15" s="53"/>
      <c r="E15" s="54"/>
      <c r="F15" s="2"/>
      <c r="G15" s="32">
        <f>A16+$J$6+R5</f>
        <v>0.40277777777777779</v>
      </c>
      <c r="H15" s="33" t="str">
        <f>H9</f>
        <v>Equipe 5</v>
      </c>
      <c r="I15" s="33" t="str">
        <f>H10</f>
        <v>Equipe 6</v>
      </c>
      <c r="J15" s="57"/>
      <c r="K15" s="58"/>
      <c r="L15" s="76"/>
      <c r="M15" s="34">
        <f>E4</f>
        <v>0.375</v>
      </c>
      <c r="N15" s="35" t="str">
        <f>N9</f>
        <v>Equipe 9</v>
      </c>
      <c r="O15" s="35" t="str">
        <f>N10</f>
        <v>Equipe 10</v>
      </c>
      <c r="P15" s="61"/>
      <c r="Q15" s="62"/>
      <c r="R15" s="2"/>
      <c r="S15" s="36">
        <f>M16+$J$6+R5</f>
        <v>0.40277777777777779</v>
      </c>
      <c r="T15" s="37" t="str">
        <f>T9</f>
        <v>Equipe 13</v>
      </c>
      <c r="U15" s="37" t="str">
        <f>T10</f>
        <v>Equipe 14</v>
      </c>
      <c r="V15" s="65"/>
      <c r="W15" s="66"/>
    </row>
    <row r="16" spans="1:23" ht="15.75" thickBot="1" x14ac:dyDescent="0.3">
      <c r="A16" s="38">
        <f>A15+$J$6+R5</f>
        <v>0.3888888888888889</v>
      </c>
      <c r="B16" s="39" t="str">
        <f>B11</f>
        <v>Equipe 3</v>
      </c>
      <c r="C16" s="39" t="str">
        <f>B12</f>
        <v>Equipe 4</v>
      </c>
      <c r="D16" s="55"/>
      <c r="E16" s="56"/>
      <c r="F16" s="2"/>
      <c r="G16" s="40">
        <f>G15+$J$6+R5</f>
        <v>0.41666666666666669</v>
      </c>
      <c r="H16" s="41" t="str">
        <f>H11</f>
        <v>Equipe 7</v>
      </c>
      <c r="I16" s="41" t="str">
        <f>H12</f>
        <v>Equipe 8</v>
      </c>
      <c r="J16" s="59"/>
      <c r="K16" s="60"/>
      <c r="L16" s="76"/>
      <c r="M16" s="42">
        <f>M15+$J$6+R5</f>
        <v>0.3888888888888889</v>
      </c>
      <c r="N16" s="43" t="str">
        <f>N11</f>
        <v>Equipe 11</v>
      </c>
      <c r="O16" s="43" t="str">
        <f>N12</f>
        <v>Equipe 12</v>
      </c>
      <c r="P16" s="63"/>
      <c r="Q16" s="64"/>
      <c r="R16" s="2"/>
      <c r="S16" s="44">
        <f>S15+$J$6+R5</f>
        <v>0.41666666666666669</v>
      </c>
      <c r="T16" s="45" t="str">
        <f>T11</f>
        <v>Equipe 15</v>
      </c>
      <c r="U16" s="45" t="str">
        <f>T12</f>
        <v>Equipe 16</v>
      </c>
      <c r="V16" s="67"/>
      <c r="W16" s="68"/>
    </row>
    <row r="17" spans="1:23" ht="5.0999999999999996" customHeight="1" thickBot="1" x14ac:dyDescent="0.3">
      <c r="A17" s="19"/>
      <c r="B17" s="2"/>
      <c r="C17" s="2"/>
      <c r="D17" s="411"/>
      <c r="E17" s="411"/>
      <c r="F17" s="2"/>
      <c r="G17" s="2"/>
      <c r="H17" s="2"/>
      <c r="I17" s="47"/>
      <c r="J17" s="411"/>
      <c r="K17" s="411"/>
      <c r="L17" s="85"/>
      <c r="M17" s="2"/>
      <c r="N17" s="2"/>
      <c r="O17" s="2"/>
      <c r="P17" s="411"/>
      <c r="Q17" s="411"/>
      <c r="R17" s="2"/>
      <c r="S17" s="2"/>
      <c r="T17" s="2"/>
      <c r="U17" s="2"/>
      <c r="V17" s="411"/>
      <c r="W17" s="412"/>
    </row>
    <row r="18" spans="1:23" s="29" customFormat="1" x14ac:dyDescent="0.25">
      <c r="A18" s="24"/>
      <c r="B18" s="713" t="s">
        <v>6</v>
      </c>
      <c r="C18" s="713"/>
      <c r="D18" s="713" t="s">
        <v>16</v>
      </c>
      <c r="E18" s="714"/>
      <c r="F18" s="25"/>
      <c r="G18" s="26"/>
      <c r="H18" s="715" t="s">
        <v>6</v>
      </c>
      <c r="I18" s="715"/>
      <c r="J18" s="715" t="s">
        <v>16</v>
      </c>
      <c r="K18" s="716"/>
      <c r="L18" s="77"/>
      <c r="M18" s="27"/>
      <c r="N18" s="786" t="s">
        <v>6</v>
      </c>
      <c r="O18" s="786"/>
      <c r="P18" s="786" t="s">
        <v>16</v>
      </c>
      <c r="Q18" s="787"/>
      <c r="R18" s="25"/>
      <c r="S18" s="28"/>
      <c r="T18" s="784" t="s">
        <v>6</v>
      </c>
      <c r="U18" s="784"/>
      <c r="V18" s="784" t="s">
        <v>16</v>
      </c>
      <c r="W18" s="785"/>
    </row>
    <row r="19" spans="1:23" x14ac:dyDescent="0.25">
      <c r="A19" s="30">
        <f>S16+$J$6+R5</f>
        <v>0.43055555555555558</v>
      </c>
      <c r="B19" s="31" t="str">
        <f>B9</f>
        <v>Equipe 1</v>
      </c>
      <c r="C19" s="31" t="str">
        <f>B11</f>
        <v>Equipe 3</v>
      </c>
      <c r="D19" s="53"/>
      <c r="E19" s="54"/>
      <c r="F19" s="2"/>
      <c r="G19" s="32">
        <f>A20+$J$6+R5</f>
        <v>0.45833333333333337</v>
      </c>
      <c r="H19" s="33" t="str">
        <f>H9</f>
        <v>Equipe 5</v>
      </c>
      <c r="I19" s="33" t="str">
        <f>H11</f>
        <v>Equipe 7</v>
      </c>
      <c r="J19" s="57"/>
      <c r="K19" s="58"/>
      <c r="L19" s="76"/>
      <c r="M19" s="34">
        <f>S16+$J$6+R5</f>
        <v>0.43055555555555558</v>
      </c>
      <c r="N19" s="35" t="str">
        <f>N9</f>
        <v>Equipe 9</v>
      </c>
      <c r="O19" s="35" t="str">
        <f>N11</f>
        <v>Equipe 11</v>
      </c>
      <c r="P19" s="61"/>
      <c r="Q19" s="62"/>
      <c r="R19" s="2"/>
      <c r="S19" s="36">
        <f>M20+$J$6+R5</f>
        <v>0.45833333333333337</v>
      </c>
      <c r="T19" s="37" t="str">
        <f>T9</f>
        <v>Equipe 13</v>
      </c>
      <c r="U19" s="37" t="str">
        <f>T11</f>
        <v>Equipe 15</v>
      </c>
      <c r="V19" s="65"/>
      <c r="W19" s="66"/>
    </row>
    <row r="20" spans="1:23" ht="15.75" thickBot="1" x14ac:dyDescent="0.3">
      <c r="A20" s="38">
        <f>A19+$J$6+R5</f>
        <v>0.44444444444444448</v>
      </c>
      <c r="B20" s="39" t="str">
        <f>B10</f>
        <v>Equipe 2</v>
      </c>
      <c r="C20" s="39" t="str">
        <f>B12</f>
        <v>Equipe 4</v>
      </c>
      <c r="D20" s="55"/>
      <c r="E20" s="56"/>
      <c r="F20" s="2"/>
      <c r="G20" s="40">
        <f>G19+$J$6+R5</f>
        <v>0.47222222222222227</v>
      </c>
      <c r="H20" s="41" t="str">
        <f>H10</f>
        <v>Equipe 6</v>
      </c>
      <c r="I20" s="41" t="str">
        <f>H12</f>
        <v>Equipe 8</v>
      </c>
      <c r="J20" s="59"/>
      <c r="K20" s="60"/>
      <c r="L20" s="76"/>
      <c r="M20" s="42">
        <f>M19+$J$6+R5</f>
        <v>0.44444444444444448</v>
      </c>
      <c r="N20" s="43" t="str">
        <f>N10</f>
        <v>Equipe 10</v>
      </c>
      <c r="O20" s="43" t="str">
        <f>N12</f>
        <v>Equipe 12</v>
      </c>
      <c r="P20" s="63"/>
      <c r="Q20" s="64"/>
      <c r="R20" s="2"/>
      <c r="S20" s="44">
        <f>S19+$J$6+R5</f>
        <v>0.47222222222222227</v>
      </c>
      <c r="T20" s="45" t="str">
        <f>T10</f>
        <v>Equipe 14</v>
      </c>
      <c r="U20" s="45" t="str">
        <f>T12</f>
        <v>Equipe 16</v>
      </c>
      <c r="V20" s="67"/>
      <c r="W20" s="68"/>
    </row>
    <row r="21" spans="1:23" ht="5.0999999999999996" customHeight="1" thickBot="1" x14ac:dyDescent="0.3">
      <c r="A21" s="19"/>
      <c r="B21" s="2"/>
      <c r="C21" s="2"/>
      <c r="D21" s="411"/>
      <c r="E21" s="411"/>
      <c r="F21" s="2"/>
      <c r="G21" s="2"/>
      <c r="H21" s="2"/>
      <c r="I21" s="47"/>
      <c r="J21" s="411"/>
      <c r="K21" s="411"/>
      <c r="L21" s="85"/>
      <c r="M21" s="2"/>
      <c r="N21" s="2"/>
      <c r="O21" s="2"/>
      <c r="P21" s="411"/>
      <c r="Q21" s="411"/>
      <c r="R21" s="2"/>
      <c r="S21" s="2"/>
      <c r="T21" s="2"/>
      <c r="U21" s="2"/>
      <c r="V21" s="411"/>
      <c r="W21" s="412"/>
    </row>
    <row r="22" spans="1:23" s="29" customFormat="1" x14ac:dyDescent="0.25">
      <c r="A22" s="24"/>
      <c r="B22" s="713" t="s">
        <v>7</v>
      </c>
      <c r="C22" s="713"/>
      <c r="D22" s="713" t="s">
        <v>16</v>
      </c>
      <c r="E22" s="714"/>
      <c r="F22" s="25"/>
      <c r="G22" s="26"/>
      <c r="H22" s="715" t="s">
        <v>7</v>
      </c>
      <c r="I22" s="715"/>
      <c r="J22" s="715" t="s">
        <v>16</v>
      </c>
      <c r="K22" s="716"/>
      <c r="L22" s="77"/>
      <c r="M22" s="27"/>
      <c r="N22" s="786" t="s">
        <v>7</v>
      </c>
      <c r="O22" s="786"/>
      <c r="P22" s="786" t="s">
        <v>16</v>
      </c>
      <c r="Q22" s="787"/>
      <c r="R22" s="25"/>
      <c r="S22" s="28"/>
      <c r="T22" s="784" t="s">
        <v>7</v>
      </c>
      <c r="U22" s="784"/>
      <c r="V22" s="784" t="s">
        <v>16</v>
      </c>
      <c r="W22" s="785"/>
    </row>
    <row r="23" spans="1:23" x14ac:dyDescent="0.25">
      <c r="A23" s="30">
        <f>G20+$J$6+R5</f>
        <v>0.48611111111111116</v>
      </c>
      <c r="B23" s="31" t="str">
        <f>B9</f>
        <v>Equipe 1</v>
      </c>
      <c r="C23" s="31" t="str">
        <f>B12</f>
        <v>Equipe 4</v>
      </c>
      <c r="D23" s="53"/>
      <c r="E23" s="54"/>
      <c r="F23" s="2"/>
      <c r="G23" s="32">
        <f>A24+$J$6+R5</f>
        <v>0.51388888888888895</v>
      </c>
      <c r="H23" s="33" t="str">
        <f>H9</f>
        <v>Equipe 5</v>
      </c>
      <c r="I23" s="33" t="str">
        <f>H12</f>
        <v>Equipe 8</v>
      </c>
      <c r="J23" s="57"/>
      <c r="K23" s="58"/>
      <c r="L23" s="76"/>
      <c r="M23" s="34">
        <f>S20+$J$6+R5</f>
        <v>0.48611111111111116</v>
      </c>
      <c r="N23" s="35" t="str">
        <f>N9</f>
        <v>Equipe 9</v>
      </c>
      <c r="O23" s="35" t="str">
        <f>N12</f>
        <v>Equipe 12</v>
      </c>
      <c r="P23" s="61"/>
      <c r="Q23" s="62"/>
      <c r="R23" s="2"/>
      <c r="S23" s="36">
        <f>M24+$J$6+R5</f>
        <v>0.51388888888888895</v>
      </c>
      <c r="T23" s="37" t="str">
        <f>T9</f>
        <v>Equipe 13</v>
      </c>
      <c r="U23" s="37" t="str">
        <f>T12</f>
        <v>Equipe 16</v>
      </c>
      <c r="V23" s="65"/>
      <c r="W23" s="66"/>
    </row>
    <row r="24" spans="1:23" ht="15.75" thickBot="1" x14ac:dyDescent="0.3">
      <c r="A24" s="38">
        <f>A23+$J$6+R5</f>
        <v>0.50000000000000011</v>
      </c>
      <c r="B24" s="39" t="str">
        <f>B10</f>
        <v>Equipe 2</v>
      </c>
      <c r="C24" s="39" t="str">
        <f>B11</f>
        <v>Equipe 3</v>
      </c>
      <c r="D24" s="55"/>
      <c r="E24" s="56"/>
      <c r="F24" s="47"/>
      <c r="G24" s="40">
        <f>G23+$J$6+R5</f>
        <v>0.52777777777777779</v>
      </c>
      <c r="H24" s="41" t="str">
        <f>H10</f>
        <v>Equipe 6</v>
      </c>
      <c r="I24" s="41" t="str">
        <f>H11</f>
        <v>Equipe 7</v>
      </c>
      <c r="J24" s="59"/>
      <c r="K24" s="60"/>
      <c r="L24" s="78"/>
      <c r="M24" s="42">
        <f>M23+$J$6+R5</f>
        <v>0.50000000000000011</v>
      </c>
      <c r="N24" s="43" t="str">
        <f>N10</f>
        <v>Equipe 10</v>
      </c>
      <c r="O24" s="43" t="str">
        <f>N11</f>
        <v>Equipe 11</v>
      </c>
      <c r="P24" s="63"/>
      <c r="Q24" s="64"/>
      <c r="R24" s="47"/>
      <c r="S24" s="44">
        <f>S23+$J$6+R5</f>
        <v>0.52777777777777779</v>
      </c>
      <c r="T24" s="45" t="str">
        <f>T10</f>
        <v>Equipe 14</v>
      </c>
      <c r="U24" s="45" t="str">
        <f>T11</f>
        <v>Equipe 15</v>
      </c>
      <c r="V24" s="67"/>
      <c r="W24" s="68"/>
    </row>
    <row r="25" spans="1:23" ht="5.0999999999999996" customHeight="1" thickBot="1" x14ac:dyDescent="0.3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73"/>
      <c r="L25" s="89"/>
      <c r="M25" s="120"/>
      <c r="N25" s="119"/>
      <c r="O25" s="119"/>
      <c r="P25" s="173"/>
      <c r="Q25" s="173"/>
      <c r="R25" s="89"/>
      <c r="S25" s="93"/>
      <c r="T25" s="428"/>
      <c r="U25" s="428"/>
      <c r="V25" s="116"/>
      <c r="W25" s="117"/>
    </row>
    <row r="26" spans="1:23" ht="16.5" thickBot="1" x14ac:dyDescent="0.3">
      <c r="A26" s="783" t="s">
        <v>60</v>
      </c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3"/>
    </row>
    <row r="27" spans="1:23" x14ac:dyDescent="0.25">
      <c r="A27" s="81" t="s">
        <v>21</v>
      </c>
      <c r="B27" s="711" t="s">
        <v>41</v>
      </c>
      <c r="C27" s="711"/>
      <c r="D27" s="711" t="s">
        <v>15</v>
      </c>
      <c r="E27" s="712"/>
      <c r="F27" s="122"/>
      <c r="G27" s="81" t="s">
        <v>21</v>
      </c>
      <c r="H27" s="711" t="s">
        <v>42</v>
      </c>
      <c r="I27" s="711"/>
      <c r="J27" s="711" t="s">
        <v>15</v>
      </c>
      <c r="K27" s="712"/>
      <c r="L27" s="75"/>
      <c r="M27" s="81" t="s">
        <v>21</v>
      </c>
      <c r="N27" s="711" t="s">
        <v>43</v>
      </c>
      <c r="O27" s="711"/>
      <c r="P27" s="711" t="s">
        <v>15</v>
      </c>
      <c r="Q27" s="712"/>
      <c r="R27" s="122"/>
      <c r="S27" s="81" t="s">
        <v>21</v>
      </c>
      <c r="T27" s="711" t="s">
        <v>55</v>
      </c>
      <c r="U27" s="711"/>
      <c r="V27" s="711" t="s">
        <v>15</v>
      </c>
      <c r="W27" s="712"/>
    </row>
    <row r="28" spans="1:23" x14ac:dyDescent="0.25">
      <c r="A28" s="49">
        <v>1</v>
      </c>
      <c r="B28" s="680" t="str">
        <f>VLOOKUP($A28,$A$60:$D$63,2,FALSE)</f>
        <v>Equipe 1</v>
      </c>
      <c r="C28" s="680"/>
      <c r="D28" s="683">
        <f>VLOOKUP($A28,$A$60:$D$63,4,FALSE)</f>
        <v>3.9999999999999998E-7</v>
      </c>
      <c r="E28" s="684"/>
      <c r="F28" s="105"/>
      <c r="G28" s="49">
        <v>1</v>
      </c>
      <c r="H28" s="680" t="str">
        <f>VLOOKUP($G28,$G$60:$J$63,2,FALSE)</f>
        <v>Equipe 5</v>
      </c>
      <c r="I28" s="680"/>
      <c r="J28" s="681">
        <f>VLOOKUP($G28,$G$60:$J$63,4,FALSE)</f>
        <v>3.9999999999999998E-7</v>
      </c>
      <c r="K28" s="682"/>
      <c r="L28" s="76"/>
      <c r="M28" s="49">
        <v>1</v>
      </c>
      <c r="N28" s="680" t="str">
        <f>VLOOKUP($M28,$M$60:$P$63,2,FALSE)</f>
        <v>Equipe 9</v>
      </c>
      <c r="O28" s="680"/>
      <c r="P28" s="681">
        <f>VLOOKUP($M28,$M$60:$P$63,4,FALSE)</f>
        <v>3.9999999999999998E-7</v>
      </c>
      <c r="Q28" s="682"/>
      <c r="R28" s="105"/>
      <c r="S28" s="49">
        <v>1</v>
      </c>
      <c r="T28" s="680" t="str">
        <f>VLOOKUP($S28,$S$60:$V$63,2,FALSE)</f>
        <v>Equipe 13</v>
      </c>
      <c r="U28" s="680"/>
      <c r="V28" s="681">
        <f>VLOOKUP($S28,$S$60:$V$63,4,FALSE)</f>
        <v>3.9999999999999998E-7</v>
      </c>
      <c r="W28" s="682"/>
    </row>
    <row r="29" spans="1:23" x14ac:dyDescent="0.25">
      <c r="A29" s="49">
        <v>2</v>
      </c>
      <c r="B29" s="680" t="str">
        <f>VLOOKUP($A29,$A$60:$D$63,2,FALSE)</f>
        <v>Equipe 2</v>
      </c>
      <c r="C29" s="680"/>
      <c r="D29" s="683">
        <f>VLOOKUP($A29,$A$60:$D$63,4,FALSE)</f>
        <v>2.9999999999999999E-7</v>
      </c>
      <c r="E29" s="684"/>
      <c r="F29" s="105"/>
      <c r="G29" s="49">
        <v>2</v>
      </c>
      <c r="H29" s="680" t="str">
        <f>VLOOKUP($G29,$G$60:$J$63,2,FALSE)</f>
        <v>Equipe 6</v>
      </c>
      <c r="I29" s="680"/>
      <c r="J29" s="681">
        <f>VLOOKUP($G29,$G$60:$J$63,4,FALSE)</f>
        <v>2.9999999999999999E-7</v>
      </c>
      <c r="K29" s="682"/>
      <c r="L29" s="76"/>
      <c r="M29" s="49">
        <v>2</v>
      </c>
      <c r="N29" s="680" t="str">
        <f>VLOOKUP($M29,$M$60:$P$63,2,FALSE)</f>
        <v>Equipe 10</v>
      </c>
      <c r="O29" s="680"/>
      <c r="P29" s="681">
        <f>VLOOKUP($M29,$M$60:$P$63,4,FALSE)</f>
        <v>2.9999999999999999E-7</v>
      </c>
      <c r="Q29" s="682"/>
      <c r="R29" s="105"/>
      <c r="S29" s="49">
        <v>2</v>
      </c>
      <c r="T29" s="680" t="str">
        <f>VLOOKUP($S29,$S$60:$V$63,2,FALSE)</f>
        <v>Equipe 14</v>
      </c>
      <c r="U29" s="680"/>
      <c r="V29" s="681">
        <f>VLOOKUP($S29,$S$60:$V$63,4,FALSE)</f>
        <v>2.9999999999999999E-7</v>
      </c>
      <c r="W29" s="682"/>
    </row>
    <row r="30" spans="1:23" x14ac:dyDescent="0.25">
      <c r="A30" s="49">
        <v>3</v>
      </c>
      <c r="B30" s="680" t="str">
        <f>VLOOKUP($A30,$A$60:$D$63,2,FALSE)</f>
        <v>Equipe 3</v>
      </c>
      <c r="C30" s="680"/>
      <c r="D30" s="683">
        <f>VLOOKUP($A30,$A$60:$D$63,4,FALSE)</f>
        <v>1.9999999999999999E-7</v>
      </c>
      <c r="E30" s="684"/>
      <c r="F30" s="105"/>
      <c r="G30" s="49">
        <v>3</v>
      </c>
      <c r="H30" s="680" t="str">
        <f>VLOOKUP($G30,$G$60:$J$63,2,FALSE)</f>
        <v>Equipe 7</v>
      </c>
      <c r="I30" s="680"/>
      <c r="J30" s="681">
        <f>VLOOKUP($G30,$G$60:$J$63,4,FALSE)</f>
        <v>1.9999999999999999E-7</v>
      </c>
      <c r="K30" s="682"/>
      <c r="L30" s="76"/>
      <c r="M30" s="49">
        <v>3</v>
      </c>
      <c r="N30" s="680" t="str">
        <f>VLOOKUP($M30,$M$60:$P$63,2,FALSE)</f>
        <v>Equipe 11</v>
      </c>
      <c r="O30" s="680"/>
      <c r="P30" s="681">
        <f>VLOOKUP($M30,$M$60:$P$63,4,FALSE)</f>
        <v>1.9999999999999999E-7</v>
      </c>
      <c r="Q30" s="682"/>
      <c r="R30" s="105"/>
      <c r="S30" s="49">
        <v>3</v>
      </c>
      <c r="T30" s="680" t="str">
        <f>VLOOKUP($S30,$S$60:$V$63,2,FALSE)</f>
        <v>Equipe 15</v>
      </c>
      <c r="U30" s="680"/>
      <c r="V30" s="681">
        <f>VLOOKUP($S30,$S$60:$V$63,4,FALSE)</f>
        <v>1.9999999999999999E-7</v>
      </c>
      <c r="W30" s="682"/>
    </row>
    <row r="31" spans="1:23" ht="15.75" thickBot="1" x14ac:dyDescent="0.3">
      <c r="A31" s="50">
        <v>4</v>
      </c>
      <c r="B31" s="706" t="str">
        <f>VLOOKUP($A31,$A$60:$D$63,2,FALSE)</f>
        <v>Equipe 4</v>
      </c>
      <c r="C31" s="706"/>
      <c r="D31" s="707">
        <f>VLOOKUP($A31,$A$60:$D$63,4,FALSE)</f>
        <v>9.9999999999999995E-8</v>
      </c>
      <c r="E31" s="708"/>
      <c r="F31" s="123"/>
      <c r="G31" s="50">
        <v>4</v>
      </c>
      <c r="H31" s="706" t="str">
        <f>VLOOKUP($G31,$G$60:$J$63,2,FALSE)</f>
        <v>Equipe 8</v>
      </c>
      <c r="I31" s="706"/>
      <c r="J31" s="709">
        <f>VLOOKUP($G31,$G$60:$J$63,4,FALSE)</f>
        <v>9.9999999999999995E-8</v>
      </c>
      <c r="K31" s="710"/>
      <c r="L31" s="78"/>
      <c r="M31" s="50">
        <v>4</v>
      </c>
      <c r="N31" s="706" t="str">
        <f>VLOOKUP($M31,$M$60:$P$63,2,FALSE)</f>
        <v>Equipe 12</v>
      </c>
      <c r="O31" s="706"/>
      <c r="P31" s="709">
        <f>VLOOKUP($M31,$M$60:$P$63,4,FALSE)</f>
        <v>9.9999999999999995E-8</v>
      </c>
      <c r="Q31" s="710"/>
      <c r="R31" s="123"/>
      <c r="S31" s="50">
        <v>4</v>
      </c>
      <c r="T31" s="706" t="str">
        <f>VLOOKUP($S31,$S$60:$V$63,2,FALSE)</f>
        <v>Equipe 16</v>
      </c>
      <c r="U31" s="706"/>
      <c r="V31" s="709">
        <f>VLOOKUP($S31,$S$60:$V$63,4,FALSE)</f>
        <v>9.9999999999999995E-8</v>
      </c>
      <c r="W31" s="710"/>
    </row>
    <row r="32" spans="1:23" ht="15.75" thickBot="1" x14ac:dyDescent="0.3">
      <c r="A32" s="703" t="s">
        <v>34</v>
      </c>
      <c r="B32" s="704"/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5"/>
    </row>
    <row r="33" spans="1:24" ht="24.95" customHeight="1" thickBot="1" x14ac:dyDescent="0.3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4"/>
    </row>
    <row r="34" spans="1:24" ht="16.350000000000001" customHeight="1" thickBot="1" x14ac:dyDescent="0.3">
      <c r="A34" s="701" t="s">
        <v>76</v>
      </c>
      <c r="B34" s="685"/>
      <c r="C34" s="685"/>
      <c r="D34" s="685"/>
      <c r="E34" s="685"/>
      <c r="F34" s="685"/>
      <c r="G34" s="685"/>
      <c r="H34" s="685"/>
      <c r="I34" s="410" t="s">
        <v>18</v>
      </c>
      <c r="J34" s="782">
        <v>1.0416666666666666E-2</v>
      </c>
      <c r="K34" s="782"/>
      <c r="L34" s="782"/>
      <c r="M34" s="425" t="s">
        <v>17</v>
      </c>
      <c r="N34" s="410"/>
      <c r="O34" s="686"/>
      <c r="P34" s="686"/>
      <c r="Q34" s="686"/>
      <c r="R34" s="686"/>
      <c r="S34" s="686"/>
      <c r="T34" s="686"/>
      <c r="U34" s="686"/>
      <c r="V34" s="686"/>
      <c r="W34" s="781"/>
      <c r="X34" s="74"/>
    </row>
    <row r="35" spans="1:24" ht="16.350000000000001" customHeight="1" thickBot="1" x14ac:dyDescent="0.3">
      <c r="A35" s="780" t="s">
        <v>247</v>
      </c>
      <c r="B35" s="686"/>
      <c r="C35" s="686"/>
      <c r="D35" s="686"/>
      <c r="E35" s="686"/>
      <c r="F35" s="686"/>
      <c r="G35" s="686"/>
      <c r="H35" s="686"/>
      <c r="I35" s="686"/>
      <c r="J35" s="686"/>
      <c r="K35" s="781"/>
      <c r="L35" s="174"/>
      <c r="M35" s="780" t="s">
        <v>248</v>
      </c>
      <c r="N35" s="686"/>
      <c r="O35" s="686"/>
      <c r="P35" s="686"/>
      <c r="Q35" s="686"/>
      <c r="R35" s="686"/>
      <c r="S35" s="686"/>
      <c r="T35" s="686"/>
      <c r="U35" s="686"/>
      <c r="V35" s="686"/>
      <c r="W35" s="781"/>
      <c r="X35" s="74"/>
    </row>
    <row r="36" spans="1:24" ht="14.45" customHeight="1" x14ac:dyDescent="0.25">
      <c r="A36" s="149"/>
      <c r="B36" s="759" t="s">
        <v>69</v>
      </c>
      <c r="C36" s="759"/>
      <c r="D36" s="759" t="s">
        <v>16</v>
      </c>
      <c r="E36" s="760"/>
      <c r="F36" s="25"/>
      <c r="G36" s="140"/>
      <c r="H36" s="776" t="s">
        <v>69</v>
      </c>
      <c r="I36" s="776"/>
      <c r="J36" s="776" t="s">
        <v>16</v>
      </c>
      <c r="K36" s="777"/>
      <c r="L36" s="164"/>
      <c r="M36" s="150"/>
      <c r="N36" s="778" t="s">
        <v>69</v>
      </c>
      <c r="O36" s="778"/>
      <c r="P36" s="778" t="s">
        <v>16</v>
      </c>
      <c r="Q36" s="779"/>
      <c r="R36" s="25"/>
      <c r="S36" s="150"/>
      <c r="T36" s="778" t="s">
        <v>69</v>
      </c>
      <c r="U36" s="778"/>
      <c r="V36" s="778" t="s">
        <v>16</v>
      </c>
      <c r="W36" s="779"/>
    </row>
    <row r="37" spans="1:24" ht="14.45" customHeight="1" x14ac:dyDescent="0.25">
      <c r="A37" s="141">
        <f>S24+$J$6+R5+L5</f>
        <v>0.54166666666666663</v>
      </c>
      <c r="B37" s="142" t="str">
        <f>IF($D$15="","3eme A",B30)</f>
        <v>3eme A</v>
      </c>
      <c r="C37" s="142" t="str">
        <f>IF($D$15="","4eme B",H31)</f>
        <v>4eme B</v>
      </c>
      <c r="D37" s="143"/>
      <c r="E37" s="144"/>
      <c r="F37" s="2"/>
      <c r="G37" s="141">
        <f>A38+$J$34+R5</f>
        <v>0.56944444444444431</v>
      </c>
      <c r="H37" s="142" t="str">
        <f>IF($D$15="","3eme C",N30)</f>
        <v>3eme C</v>
      </c>
      <c r="I37" s="142" t="str">
        <f>IF($D$15="","4eme D",T31)</f>
        <v>4eme D</v>
      </c>
      <c r="J37" s="143"/>
      <c r="K37" s="144"/>
      <c r="L37" s="165"/>
      <c r="M37" s="151">
        <f>S24+$J$6+R5+X5</f>
        <v>0.54166666666666663</v>
      </c>
      <c r="N37" s="152" t="str">
        <f>IF($D$15="","1er A",B28)</f>
        <v>1er A</v>
      </c>
      <c r="O37" s="152" t="str">
        <f>IF($D$15="","2eme B",H29)</f>
        <v>2eme B</v>
      </c>
      <c r="P37" s="153"/>
      <c r="Q37" s="154"/>
      <c r="R37" s="2"/>
      <c r="S37" s="151">
        <f>M38+$J$34+R5</f>
        <v>0.56944444444444431</v>
      </c>
      <c r="T37" s="152" t="str">
        <f>IF($D$15="","1er C",N28)</f>
        <v>1er C</v>
      </c>
      <c r="U37" s="152" t="str">
        <f>IF($D$15="","2eme D",T29)</f>
        <v>2eme D</v>
      </c>
      <c r="V37" s="153"/>
      <c r="W37" s="154"/>
    </row>
    <row r="38" spans="1:24" ht="14.45" customHeight="1" thickBot="1" x14ac:dyDescent="0.3">
      <c r="A38" s="145">
        <f>A37+$J$34+R5</f>
        <v>0.55555555555555547</v>
      </c>
      <c r="B38" s="146" t="str">
        <f>IF($D$15="","3eme B",H30)</f>
        <v>3eme B</v>
      </c>
      <c r="C38" s="146" t="str">
        <f>IF($D$15="","4eme A",B31)</f>
        <v>4eme A</v>
      </c>
      <c r="D38" s="147"/>
      <c r="E38" s="148"/>
      <c r="F38" s="2"/>
      <c r="G38" s="145">
        <f>G37+$J$34+R5</f>
        <v>0.58333333333333315</v>
      </c>
      <c r="H38" s="146" t="str">
        <f>IF($D$15="","3eme D",T30)</f>
        <v>3eme D</v>
      </c>
      <c r="I38" s="146" t="str">
        <f>IF($D$15="","4eme C",N31)</f>
        <v>4eme C</v>
      </c>
      <c r="J38" s="147"/>
      <c r="K38" s="148"/>
      <c r="L38" s="165"/>
      <c r="M38" s="155">
        <f>M37+$J$34+R5</f>
        <v>0.55555555555555547</v>
      </c>
      <c r="N38" s="156" t="str">
        <f>IF($D$15="","1er B",H28)</f>
        <v>1er B</v>
      </c>
      <c r="O38" s="156" t="str">
        <f>IF($D$15="","2eme A",B29)</f>
        <v>2eme A</v>
      </c>
      <c r="P38" s="157"/>
      <c r="Q38" s="158"/>
      <c r="R38" s="2"/>
      <c r="S38" s="155">
        <f>S37+$J$34+R5</f>
        <v>0.58333333333333315</v>
      </c>
      <c r="T38" s="156" t="str">
        <f>IF($D$15="","1er D",T28)</f>
        <v>1er D</v>
      </c>
      <c r="U38" s="156" t="str">
        <f>IF($D$15="","2eme C",N29)</f>
        <v>2eme C</v>
      </c>
      <c r="V38" s="157"/>
      <c r="W38" s="158"/>
    </row>
    <row r="39" spans="1:24" ht="5.0999999999999996" customHeight="1" thickBot="1" x14ac:dyDescent="0.3">
      <c r="A39" s="19"/>
      <c r="B39" s="2"/>
      <c r="C39" s="2"/>
      <c r="D39" s="411"/>
      <c r="E39" s="411"/>
      <c r="F39" s="2"/>
      <c r="G39" s="2"/>
      <c r="H39" s="2"/>
      <c r="I39" s="47"/>
      <c r="J39" s="411"/>
      <c r="K39" s="412"/>
      <c r="L39" s="165"/>
      <c r="M39" s="19"/>
      <c r="N39" s="2"/>
      <c r="O39" s="2"/>
      <c r="P39" s="411"/>
      <c r="Q39" s="411"/>
      <c r="R39" s="2"/>
      <c r="S39" s="2"/>
      <c r="T39" s="2"/>
      <c r="U39" s="2"/>
      <c r="V39" s="411"/>
      <c r="W39" s="412"/>
    </row>
    <row r="40" spans="1:24" ht="14.45" customHeight="1" x14ac:dyDescent="0.25">
      <c r="A40" s="149"/>
      <c r="B40" s="759" t="s">
        <v>70</v>
      </c>
      <c r="C40" s="759"/>
      <c r="D40" s="759" t="s">
        <v>16</v>
      </c>
      <c r="E40" s="760"/>
      <c r="F40" s="25"/>
      <c r="G40" s="149"/>
      <c r="H40" s="759" t="s">
        <v>66</v>
      </c>
      <c r="I40" s="759"/>
      <c r="J40" s="759" t="s">
        <v>16</v>
      </c>
      <c r="K40" s="760"/>
      <c r="L40" s="164"/>
      <c r="M40" s="159"/>
      <c r="N40" s="689" t="s">
        <v>70</v>
      </c>
      <c r="O40" s="689"/>
      <c r="P40" s="689" t="s">
        <v>16</v>
      </c>
      <c r="Q40" s="699"/>
      <c r="R40" s="25"/>
      <c r="S40" s="159"/>
      <c r="T40" s="689" t="s">
        <v>66</v>
      </c>
      <c r="U40" s="689"/>
      <c r="V40" s="689" t="s">
        <v>16</v>
      </c>
      <c r="W40" s="699"/>
    </row>
    <row r="41" spans="1:24" ht="14.45" customHeight="1" x14ac:dyDescent="0.25">
      <c r="A41" s="141">
        <f>G38+$J$34+R5</f>
        <v>0.59722222222222199</v>
      </c>
      <c r="B41" s="142" t="str">
        <f>IF(D37&lt;E37,B37,IF(D37=E37," ",C37))</f>
        <v xml:space="preserve"> </v>
      </c>
      <c r="C41" s="142" t="str">
        <f>IF(J37&lt;K37,H37,IF(J37=K37," ",I37))</f>
        <v xml:space="preserve"> </v>
      </c>
      <c r="D41" s="143"/>
      <c r="E41" s="144"/>
      <c r="F41" s="2"/>
      <c r="G41" s="141">
        <f>A42+$J$34+R5</f>
        <v>0.62499999999999967</v>
      </c>
      <c r="H41" s="142" t="str">
        <f>IF(D37&gt;E37,B37,IF(D37=E37," ",C37))</f>
        <v xml:space="preserve"> </v>
      </c>
      <c r="I41" s="142" t="str">
        <f>IF(J37&gt;K37,H37,IF(J37=K37," ",I37))</f>
        <v xml:space="preserve"> </v>
      </c>
      <c r="J41" s="143"/>
      <c r="K41" s="144"/>
      <c r="L41" s="165"/>
      <c r="M41" s="151">
        <f>S38+$J$34+R5</f>
        <v>0.59722222222222199</v>
      </c>
      <c r="N41" s="152" t="str">
        <f>IF(P37&lt;Q37,N37,IF(P37=Q37," ",O37))</f>
        <v xml:space="preserve"> </v>
      </c>
      <c r="O41" s="152" t="str">
        <f>IF(V37&lt;W37,T37,IF(V37=W37," ",U37))</f>
        <v xml:space="preserve"> </v>
      </c>
      <c r="P41" s="153"/>
      <c r="Q41" s="154"/>
      <c r="R41" s="2"/>
      <c r="S41" s="151">
        <f>M42+$J$34+R5</f>
        <v>0.62499999999999967</v>
      </c>
      <c r="T41" s="152" t="str">
        <f>IF(P37&gt;Q37,N37,IF(P37=Q37," ",O37))</f>
        <v xml:space="preserve"> </v>
      </c>
      <c r="U41" s="152" t="str">
        <f>IF(V37&gt;W37,T37,IF(V37=W37," ",U37))</f>
        <v xml:space="preserve"> </v>
      </c>
      <c r="V41" s="153"/>
      <c r="W41" s="154"/>
    </row>
    <row r="42" spans="1:24" ht="14.45" customHeight="1" thickBot="1" x14ac:dyDescent="0.3">
      <c r="A42" s="145">
        <f>A41+$J$34+R5</f>
        <v>0.61111111111111083</v>
      </c>
      <c r="B42" s="146" t="str">
        <f>IF(D38&lt;E38,B38,IF(D38=E38," ",C38))</f>
        <v xml:space="preserve"> </v>
      </c>
      <c r="C42" s="146" t="str">
        <f>IF(J38&lt;K38,H38,IF(J38=K38," ",I38))</f>
        <v xml:space="preserve"> </v>
      </c>
      <c r="D42" s="147"/>
      <c r="E42" s="148"/>
      <c r="F42" s="2"/>
      <c r="G42" s="145">
        <f>G41+$J$34+R5</f>
        <v>0.63888888888888851</v>
      </c>
      <c r="H42" s="146" t="str">
        <f>IF(D38&gt;E38,B38,IF(D38=E38," ",C38))</f>
        <v xml:space="preserve"> </v>
      </c>
      <c r="I42" s="146" t="str">
        <f>IF(J38&gt;K38,H38,IF(J38=K38," ",I38))</f>
        <v xml:space="preserve"> </v>
      </c>
      <c r="J42" s="147"/>
      <c r="K42" s="148"/>
      <c r="L42" s="165"/>
      <c r="M42" s="155">
        <f>M41+$J$34+R5</f>
        <v>0.61111111111111083</v>
      </c>
      <c r="N42" s="152" t="str">
        <f>IF(P38&lt;Q38,N38,IF(P38=Q38," ",O38))</f>
        <v xml:space="preserve"> </v>
      </c>
      <c r="O42" s="152" t="str">
        <f>IF(V38&lt;W38,T38,IF(V38=W38," ",U38))</f>
        <v xml:space="preserve"> </v>
      </c>
      <c r="P42" s="157"/>
      <c r="Q42" s="158"/>
      <c r="R42" s="2"/>
      <c r="S42" s="155">
        <f>S41+$J$34+R5</f>
        <v>0.63888888888888851</v>
      </c>
      <c r="T42" s="152" t="str">
        <f>IF(P38&gt;Q38,N38,IF(P38=Q38," ",O38))</f>
        <v xml:space="preserve"> </v>
      </c>
      <c r="U42" s="152" t="str">
        <f>IF(V38&gt;W38,T38,IF(V38=W38," ",U38))</f>
        <v xml:space="preserve"> </v>
      </c>
      <c r="V42" s="157"/>
      <c r="W42" s="158"/>
    </row>
    <row r="43" spans="1:24" ht="5.0999999999999996" customHeight="1" thickBot="1" x14ac:dyDescent="0.3">
      <c r="A43" s="19"/>
      <c r="B43" s="2"/>
      <c r="C43" s="2"/>
      <c r="D43" s="411"/>
      <c r="E43" s="411"/>
      <c r="F43" s="2"/>
      <c r="G43" s="2"/>
      <c r="H43" s="2"/>
      <c r="I43" s="47"/>
      <c r="J43" s="411"/>
      <c r="K43" s="412"/>
      <c r="L43" s="165"/>
      <c r="M43" s="19"/>
      <c r="N43" s="2"/>
      <c r="O43" s="2"/>
      <c r="P43" s="411"/>
      <c r="Q43" s="411"/>
      <c r="R43" s="2"/>
      <c r="S43" s="2"/>
      <c r="T43" s="2"/>
      <c r="U43" s="2"/>
      <c r="V43" s="411"/>
      <c r="W43" s="412"/>
    </row>
    <row r="44" spans="1:24" ht="14.45" customHeight="1" x14ac:dyDescent="0.25">
      <c r="A44" s="149"/>
      <c r="B44" s="759" t="s">
        <v>71</v>
      </c>
      <c r="C44" s="759"/>
      <c r="D44" s="759" t="s">
        <v>16</v>
      </c>
      <c r="E44" s="760"/>
      <c r="F44" s="25"/>
      <c r="G44" s="149"/>
      <c r="H44" s="759" t="s">
        <v>68</v>
      </c>
      <c r="I44" s="759"/>
      <c r="J44" s="759" t="s">
        <v>16</v>
      </c>
      <c r="K44" s="760"/>
      <c r="L44" s="164"/>
      <c r="M44" s="159"/>
      <c r="N44" s="689" t="s">
        <v>71</v>
      </c>
      <c r="O44" s="689"/>
      <c r="P44" s="689" t="s">
        <v>16</v>
      </c>
      <c r="Q44" s="699"/>
      <c r="R44" s="25"/>
      <c r="S44" s="159"/>
      <c r="T44" s="689" t="s">
        <v>73</v>
      </c>
      <c r="U44" s="689"/>
      <c r="V44" s="689" t="s">
        <v>16</v>
      </c>
      <c r="W44" s="699"/>
    </row>
    <row r="45" spans="1:24" ht="14.45" customHeight="1" thickBot="1" x14ac:dyDescent="0.3">
      <c r="A45" s="145">
        <f>G42+$J$34+R5</f>
        <v>0.65277777777777735</v>
      </c>
      <c r="B45" s="146" t="str">
        <f>IF(D41&lt;E41,B41,IF(D41=E41," ",C41))</f>
        <v xml:space="preserve"> </v>
      </c>
      <c r="C45" s="146" t="str">
        <f>IF(D42&lt;E42,B42,IF(D42=E42," ",C42))</f>
        <v xml:space="preserve"> </v>
      </c>
      <c r="D45" s="147"/>
      <c r="E45" s="148"/>
      <c r="F45" s="2"/>
      <c r="G45" s="145">
        <f>A45+$J$34+R5</f>
        <v>0.66666666666666619</v>
      </c>
      <c r="H45" s="146" t="str">
        <f>IF(D41&gt;E41,B41,IF(D41=E41," ",C41))</f>
        <v xml:space="preserve"> </v>
      </c>
      <c r="I45" s="146" t="str">
        <f>IF(D42&gt;E42,B42,IF(D42=E42," ",C42))</f>
        <v xml:space="preserve"> </v>
      </c>
      <c r="J45" s="147"/>
      <c r="K45" s="148"/>
      <c r="L45" s="165"/>
      <c r="M45" s="155">
        <f>S42+$J$34+R5</f>
        <v>0.65277777777777735</v>
      </c>
      <c r="N45" s="156" t="str">
        <f>IF(P41&lt;Q41,N41,IF(P41=Q41," ",O41))</f>
        <v xml:space="preserve"> </v>
      </c>
      <c r="O45" s="156" t="str">
        <f>IF(P42&lt;Q42,N42,IF(P42=Q42," ",O42))</f>
        <v xml:space="preserve"> </v>
      </c>
      <c r="P45" s="157"/>
      <c r="Q45" s="158"/>
      <c r="R45" s="2"/>
      <c r="S45" s="155">
        <f>M45+$J$34+R5</f>
        <v>0.66666666666666619</v>
      </c>
      <c r="T45" s="156" t="str">
        <f>IF(P41&gt;Q41,N41,IF(P41=Q41," ",O41))</f>
        <v xml:space="preserve"> </v>
      </c>
      <c r="U45" s="156" t="str">
        <f>IF(P42&gt;Q42,N42,IF(P42=Q42," ",O42))</f>
        <v xml:space="preserve"> </v>
      </c>
      <c r="V45" s="157"/>
      <c r="W45" s="158"/>
    </row>
    <row r="46" spans="1:24" ht="5.0999999999999996" customHeight="1" thickBot="1" x14ac:dyDescent="0.3">
      <c r="A46" s="163"/>
      <c r="B46" s="138"/>
      <c r="C46" s="138"/>
      <c r="D46" s="161"/>
      <c r="E46" s="161"/>
      <c r="F46" s="85"/>
      <c r="G46" s="137"/>
      <c r="H46" s="138"/>
      <c r="I46" s="138"/>
      <c r="J46" s="161"/>
      <c r="K46" s="162"/>
      <c r="L46" s="165"/>
      <c r="M46" s="163"/>
      <c r="N46" s="138"/>
      <c r="O46" s="138"/>
      <c r="P46" s="161"/>
      <c r="Q46" s="161"/>
      <c r="R46" s="85"/>
      <c r="S46" s="137"/>
      <c r="T46" s="138"/>
      <c r="U46" s="138"/>
      <c r="V46" s="161"/>
      <c r="W46" s="162"/>
    </row>
    <row r="47" spans="1:24" ht="14.45" customHeight="1" x14ac:dyDescent="0.25">
      <c r="A47" s="149"/>
      <c r="B47" s="759" t="s">
        <v>67</v>
      </c>
      <c r="C47" s="759"/>
      <c r="D47" s="759" t="s">
        <v>16</v>
      </c>
      <c r="E47" s="760"/>
      <c r="F47" s="25"/>
      <c r="G47" s="149"/>
      <c r="H47" s="759" t="s">
        <v>72</v>
      </c>
      <c r="I47" s="759"/>
      <c r="J47" s="759" t="s">
        <v>16</v>
      </c>
      <c r="K47" s="760"/>
      <c r="L47" s="164"/>
      <c r="M47" s="159"/>
      <c r="N47" s="689" t="s">
        <v>67</v>
      </c>
      <c r="O47" s="689"/>
      <c r="P47" s="689" t="s">
        <v>16</v>
      </c>
      <c r="Q47" s="699"/>
      <c r="R47" s="25"/>
      <c r="S47" s="159"/>
      <c r="T47" s="689" t="s">
        <v>72</v>
      </c>
      <c r="U47" s="689"/>
      <c r="V47" s="689" t="s">
        <v>16</v>
      </c>
      <c r="W47" s="699"/>
    </row>
    <row r="48" spans="1:24" ht="14.45" customHeight="1" thickBot="1" x14ac:dyDescent="0.3">
      <c r="A48" s="145">
        <f>G45+$J$34+R5</f>
        <v>0.68055555555555503</v>
      </c>
      <c r="B48" s="146" t="str">
        <f>IF(J41&lt;K41,H41,IF(J41=K41," ",I41))</f>
        <v xml:space="preserve"> </v>
      </c>
      <c r="C48" s="146" t="str">
        <f>IF(J42&lt;K42,H42,IF(J42=K42," ",I42))</f>
        <v xml:space="preserve"> </v>
      </c>
      <c r="D48" s="147"/>
      <c r="E48" s="148"/>
      <c r="F48" s="47"/>
      <c r="G48" s="145">
        <f>A48+$J$34+R5</f>
        <v>0.69444444444444386</v>
      </c>
      <c r="H48" s="146" t="str">
        <f>IF(J41&gt;K41,H41,IF(J41=K41," ",I41))</f>
        <v xml:space="preserve"> </v>
      </c>
      <c r="I48" s="146" t="str">
        <f>IF(J42&gt;K42,H42,IF(J42=K42," ",I42))</f>
        <v xml:space="preserve"> </v>
      </c>
      <c r="J48" s="147"/>
      <c r="K48" s="148"/>
      <c r="L48" s="166"/>
      <c r="M48" s="155">
        <f>S45+$J$34+R5</f>
        <v>0.68055555555555503</v>
      </c>
      <c r="N48" s="156" t="str">
        <f>IF(V41&lt;W41,T41,IF(V41=W41," ",U41))</f>
        <v xml:space="preserve"> </v>
      </c>
      <c r="O48" s="156" t="str">
        <f>IF(V42&lt;W42,T42,IF(V42=W42," ",U42))</f>
        <v xml:space="preserve"> </v>
      </c>
      <c r="P48" s="157"/>
      <c r="Q48" s="158"/>
      <c r="R48" s="47"/>
      <c r="S48" s="155">
        <f>M48+$J$34+R5</f>
        <v>0.69444444444444386</v>
      </c>
      <c r="T48" s="156" t="str">
        <f>IF(V41&gt;W41,T41,IF(V41=W41," ",U41))</f>
        <v xml:space="preserve"> </v>
      </c>
      <c r="U48" s="156" t="str">
        <f>IF(V42&gt;W42,T42,IF(V42=W42," ",U42))</f>
        <v xml:space="preserve"> </v>
      </c>
      <c r="V48" s="157"/>
      <c r="W48" s="158"/>
    </row>
    <row r="49" spans="1:24" ht="5.0999999999999996" customHeight="1" thickBot="1" x14ac:dyDescent="0.3">
      <c r="A49" s="118"/>
      <c r="B49" s="119"/>
      <c r="C49" s="119"/>
      <c r="D49" s="173"/>
      <c r="E49" s="173"/>
      <c r="F49" s="89"/>
      <c r="G49" s="120"/>
      <c r="H49" s="119"/>
      <c r="I49" s="119"/>
      <c r="J49" s="173"/>
      <c r="K49" s="173"/>
      <c r="L49" s="89"/>
      <c r="M49" s="120"/>
      <c r="N49" s="119"/>
      <c r="O49" s="119"/>
      <c r="P49" s="173"/>
      <c r="Q49" s="173"/>
      <c r="R49" s="89"/>
      <c r="S49" s="93"/>
      <c r="T49" s="428"/>
      <c r="U49" s="428"/>
      <c r="V49" s="116"/>
      <c r="W49" s="117"/>
    </row>
    <row r="50" spans="1:24" ht="14.45" customHeight="1" thickBot="1" x14ac:dyDescent="0.3">
      <c r="A50" s="702" t="s">
        <v>47</v>
      </c>
      <c r="B50" s="673"/>
      <c r="C50" s="673"/>
      <c r="D50" s="673"/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762"/>
      <c r="U50" s="762"/>
      <c r="V50" s="762"/>
      <c r="W50" s="763"/>
    </row>
    <row r="51" spans="1:24" ht="14.45" customHeight="1" x14ac:dyDescent="0.25">
      <c r="A51" s="160">
        <v>1</v>
      </c>
      <c r="B51" s="756" t="str">
        <f>IF(V48&gt;W48,T48,IF(V48=W48," ",U48))</f>
        <v xml:space="preserve"> </v>
      </c>
      <c r="C51" s="757"/>
      <c r="D51" s="757"/>
      <c r="E51" s="757"/>
      <c r="F51" s="758"/>
      <c r="G51" s="160">
        <v>5</v>
      </c>
      <c r="H51" s="756" t="str">
        <f>IF(V45&gt;W45,T45,IF(V45=W45," ",U45))</f>
        <v xml:space="preserve"> </v>
      </c>
      <c r="I51" s="757"/>
      <c r="J51" s="757"/>
      <c r="K51" s="757"/>
      <c r="L51" s="758"/>
      <c r="M51" s="160">
        <v>9</v>
      </c>
      <c r="N51" s="756" t="str">
        <f>IF(J48&gt;K48,H48,IF(J48=K48," ",I48))</f>
        <v xml:space="preserve"> </v>
      </c>
      <c r="O51" s="757"/>
      <c r="P51" s="757"/>
      <c r="Q51" s="757"/>
      <c r="R51" s="758"/>
      <c r="S51" s="169">
        <v>13</v>
      </c>
      <c r="T51" s="1066" t="str">
        <f>IF(J45&gt;K45,H45,IF(J45=K45," ",I45))</f>
        <v xml:space="preserve"> </v>
      </c>
      <c r="U51" s="757"/>
      <c r="V51" s="757"/>
      <c r="W51" s="758"/>
      <c r="X51" s="172"/>
    </row>
    <row r="52" spans="1:24" ht="14.45" customHeight="1" x14ac:dyDescent="0.25">
      <c r="A52" s="49">
        <v>2</v>
      </c>
      <c r="B52" s="750" t="str">
        <f>IF(V48&lt;W48,T48,IF(V48=W48," ",U48))</f>
        <v xml:space="preserve"> </v>
      </c>
      <c r="C52" s="751"/>
      <c r="D52" s="751"/>
      <c r="E52" s="751"/>
      <c r="F52" s="752"/>
      <c r="G52" s="49">
        <v>6</v>
      </c>
      <c r="H52" s="750" t="str">
        <f>IF(V45&lt;W45,T45,IF(V45=W45," ",U45))</f>
        <v xml:space="preserve"> </v>
      </c>
      <c r="I52" s="751"/>
      <c r="J52" s="751"/>
      <c r="K52" s="751"/>
      <c r="L52" s="752"/>
      <c r="M52" s="49">
        <v>10</v>
      </c>
      <c r="N52" s="750" t="str">
        <f>IF(J48&lt;K48,H48,IF(J48=K48," ",I48))</f>
        <v xml:space="preserve"> </v>
      </c>
      <c r="O52" s="751"/>
      <c r="P52" s="751"/>
      <c r="Q52" s="751"/>
      <c r="R52" s="752"/>
      <c r="S52" s="170">
        <v>14</v>
      </c>
      <c r="T52" s="1068" t="str">
        <f>IF(J45&lt;K45,H45,IF(J45=K45," ",I45))</f>
        <v xml:space="preserve"> </v>
      </c>
      <c r="U52" s="751"/>
      <c r="V52" s="751"/>
      <c r="W52" s="752"/>
      <c r="X52" s="172"/>
    </row>
    <row r="53" spans="1:24" ht="14.45" customHeight="1" x14ac:dyDescent="0.25">
      <c r="A53" s="49">
        <v>3</v>
      </c>
      <c r="B53" s="750" t="str">
        <f>IF(P48&gt;Q48,N48,IF(P48=Q48," ",O48))</f>
        <v xml:space="preserve"> </v>
      </c>
      <c r="C53" s="751"/>
      <c r="D53" s="751"/>
      <c r="E53" s="751"/>
      <c r="F53" s="752"/>
      <c r="G53" s="49">
        <v>7</v>
      </c>
      <c r="H53" s="750" t="str">
        <f>IF(P45&gt;Q45,N45,IF(P45=Q45," ",O45))</f>
        <v xml:space="preserve"> </v>
      </c>
      <c r="I53" s="751"/>
      <c r="J53" s="751"/>
      <c r="K53" s="751"/>
      <c r="L53" s="752"/>
      <c r="M53" s="49">
        <v>11</v>
      </c>
      <c r="N53" s="750" t="str">
        <f>IF(D48&gt;E48,B48,IF(D48=E48," ",C48))</f>
        <v xml:space="preserve"> </v>
      </c>
      <c r="O53" s="751"/>
      <c r="P53" s="751"/>
      <c r="Q53" s="751"/>
      <c r="R53" s="752"/>
      <c r="S53" s="170">
        <v>15</v>
      </c>
      <c r="T53" s="1068" t="str">
        <f>IF(D45&gt;E45,B45,IF(D45=E45," ",C45))</f>
        <v xml:space="preserve"> </v>
      </c>
      <c r="U53" s="751"/>
      <c r="V53" s="751"/>
      <c r="W53" s="752"/>
      <c r="X53" s="172"/>
    </row>
    <row r="54" spans="1:24" ht="14.45" customHeight="1" thickBot="1" x14ac:dyDescent="0.3">
      <c r="A54" s="50">
        <v>4</v>
      </c>
      <c r="B54" s="753" t="str">
        <f>IF(P48&lt;Q48,N48,IF(P48=Q48," ",O48))</f>
        <v xml:space="preserve"> </v>
      </c>
      <c r="C54" s="754"/>
      <c r="D54" s="754"/>
      <c r="E54" s="754"/>
      <c r="F54" s="755"/>
      <c r="G54" s="50">
        <v>8</v>
      </c>
      <c r="H54" s="753" t="str">
        <f>IF(P45&lt;Q45,N45,IF(P45=Q45," ",O45))</f>
        <v xml:space="preserve"> </v>
      </c>
      <c r="I54" s="754"/>
      <c r="J54" s="754"/>
      <c r="K54" s="754"/>
      <c r="L54" s="755"/>
      <c r="M54" s="50">
        <v>12</v>
      </c>
      <c r="N54" s="753" t="str">
        <f>IF(D48&lt;E48,B48,IF(D48=E48," ",C48))</f>
        <v xml:space="preserve"> </v>
      </c>
      <c r="O54" s="754"/>
      <c r="P54" s="754"/>
      <c r="Q54" s="754"/>
      <c r="R54" s="755"/>
      <c r="S54" s="171">
        <v>16</v>
      </c>
      <c r="T54" s="1067" t="str">
        <f>IF(D45&lt;E45,B45,IF(D45=E45," ",C45))</f>
        <v xml:space="preserve"> </v>
      </c>
      <c r="U54" s="754"/>
      <c r="V54" s="754"/>
      <c r="W54" s="755"/>
      <c r="X54" s="172"/>
    </row>
    <row r="55" spans="1:24" ht="15" customHeight="1" thickBot="1" x14ac:dyDescent="0.3">
      <c r="A55" s="768" t="s">
        <v>34</v>
      </c>
      <c r="B55" s="675"/>
      <c r="C55" s="675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5"/>
      <c r="T55" s="769"/>
      <c r="U55" s="769"/>
      <c r="V55" s="769"/>
      <c r="W55" s="770"/>
    </row>
    <row r="56" spans="1:24" s="2" customFormat="1" x14ac:dyDescent="0.25">
      <c r="A56" s="771" t="s">
        <v>236</v>
      </c>
      <c r="B56" s="771"/>
      <c r="C56" s="771"/>
      <c r="D56" s="771"/>
      <c r="E56" s="771"/>
      <c r="F56" s="771"/>
      <c r="G56" s="771"/>
      <c r="H56" s="771"/>
      <c r="I56" s="771"/>
      <c r="J56" s="771"/>
      <c r="K56" s="771"/>
      <c r="L56" s="771"/>
      <c r="M56" s="771"/>
      <c r="N56" s="771"/>
      <c r="O56" s="771"/>
      <c r="P56" s="771"/>
      <c r="Q56" s="771"/>
      <c r="R56" s="771"/>
      <c r="S56" s="771"/>
      <c r="T56" s="771"/>
      <c r="U56" s="771"/>
      <c r="V56" s="771"/>
      <c r="W56" s="771"/>
    </row>
    <row r="57" spans="1:24" s="2" customFormat="1" ht="15.75" hidden="1" thickBot="1" x14ac:dyDescent="0.3"/>
    <row r="58" spans="1:24" ht="16.5" hidden="1" thickBot="1" x14ac:dyDescent="0.3">
      <c r="A58" s="670" t="s">
        <v>49</v>
      </c>
      <c r="B58" s="671"/>
      <c r="C58" s="671"/>
      <c r="D58" s="671"/>
      <c r="E58" s="671"/>
      <c r="F58" s="671"/>
      <c r="G58" s="671"/>
      <c r="H58" s="671"/>
      <c r="I58" s="671"/>
      <c r="J58" s="671"/>
      <c r="K58" s="671"/>
      <c r="L58" s="671"/>
      <c r="M58" s="671"/>
      <c r="N58" s="671"/>
      <c r="O58" s="671"/>
      <c r="P58" s="671"/>
      <c r="Q58" s="671"/>
      <c r="R58" s="671"/>
      <c r="S58" s="671"/>
      <c r="T58" s="671"/>
      <c r="U58" s="671"/>
      <c r="V58" s="671"/>
      <c r="W58" s="672"/>
    </row>
    <row r="59" spans="1:24" ht="14.45" hidden="1" customHeight="1" x14ac:dyDescent="0.25">
      <c r="A59" s="96"/>
      <c r="B59" s="711" t="s">
        <v>1</v>
      </c>
      <c r="C59" s="711"/>
      <c r="D59" s="711" t="s">
        <v>15</v>
      </c>
      <c r="E59" s="772"/>
      <c r="F59" s="773"/>
      <c r="G59" s="121"/>
      <c r="H59" s="711" t="s">
        <v>2</v>
      </c>
      <c r="I59" s="711"/>
      <c r="J59" s="711" t="s">
        <v>15</v>
      </c>
      <c r="K59" s="772"/>
      <c r="L59" s="75"/>
      <c r="M59" s="121"/>
      <c r="N59" s="711" t="s">
        <v>3</v>
      </c>
      <c r="O59" s="711"/>
      <c r="P59" s="711" t="s">
        <v>15</v>
      </c>
      <c r="Q59" s="772"/>
      <c r="R59" s="122"/>
      <c r="S59" s="96"/>
      <c r="T59" s="711" t="s">
        <v>4</v>
      </c>
      <c r="U59" s="711"/>
      <c r="V59" s="711" t="s">
        <v>15</v>
      </c>
      <c r="W59" s="712"/>
    </row>
    <row r="60" spans="1:24" ht="14.45" hidden="1" customHeight="1" x14ac:dyDescent="0.25">
      <c r="A60" s="86">
        <f>RANK(D60,$D$60:$D$63)</f>
        <v>1</v>
      </c>
      <c r="B60" s="69" t="str">
        <f>B9</f>
        <v>Equipe 1</v>
      </c>
      <c r="C60" s="69">
        <f>D15-E15+D19-E19+D23-E23</f>
        <v>0</v>
      </c>
      <c r="D60" s="681">
        <f>D9+4/10000000</f>
        <v>3.9999999999999998E-7</v>
      </c>
      <c r="E60" s="767"/>
      <c r="F60" s="774"/>
      <c r="G60" s="91">
        <f>RANK(J60,$J$60:$J$63)</f>
        <v>1</v>
      </c>
      <c r="H60" s="69" t="str">
        <f>H9</f>
        <v>Equipe 5</v>
      </c>
      <c r="I60" s="69">
        <f>J15-K15+J19-K19+J23-K23</f>
        <v>0</v>
      </c>
      <c r="J60" s="681">
        <f>J9+4/10000000</f>
        <v>3.9999999999999998E-7</v>
      </c>
      <c r="K60" s="767"/>
      <c r="L60" s="76"/>
      <c r="M60" s="91">
        <f>RANK(P60,$P$60:$P$63)</f>
        <v>1</v>
      </c>
      <c r="N60" s="69" t="str">
        <f>N9</f>
        <v>Equipe 9</v>
      </c>
      <c r="O60" s="69">
        <f>P15-Q15+P19-Q19+P23-Q23</f>
        <v>0</v>
      </c>
      <c r="P60" s="681">
        <f>P9+4/10000000</f>
        <v>3.9999999999999998E-7</v>
      </c>
      <c r="Q60" s="767"/>
      <c r="R60" s="105"/>
      <c r="S60" s="86">
        <f>RANK(V60,$V$60:$V$63)</f>
        <v>1</v>
      </c>
      <c r="T60" s="69" t="str">
        <f>T9</f>
        <v>Equipe 13</v>
      </c>
      <c r="U60" s="69">
        <f>V15-W15+V19-W19+V23-W23</f>
        <v>0</v>
      </c>
      <c r="V60" s="681">
        <f>V9+4/10000000</f>
        <v>3.9999999999999998E-7</v>
      </c>
      <c r="W60" s="682"/>
    </row>
    <row r="61" spans="1:24" ht="14.45" hidden="1" customHeight="1" x14ac:dyDescent="0.25">
      <c r="A61" s="86">
        <f t="shared" ref="A61:A63" si="0">RANK(D61,$D$60:$D$63)</f>
        <v>2</v>
      </c>
      <c r="B61" s="69" t="str">
        <f>B10</f>
        <v>Equipe 2</v>
      </c>
      <c r="C61" s="69">
        <f>E15-D15+D20-E20+D24-E24</f>
        <v>0</v>
      </c>
      <c r="D61" s="681">
        <f>D10+3/10000000</f>
        <v>2.9999999999999999E-7</v>
      </c>
      <c r="E61" s="767"/>
      <c r="F61" s="774"/>
      <c r="G61" s="91">
        <f t="shared" ref="G61:G63" si="1">RANK(J61,$J$60:$J$63)</f>
        <v>2</v>
      </c>
      <c r="H61" s="69" t="str">
        <f>H10</f>
        <v>Equipe 6</v>
      </c>
      <c r="I61" s="69">
        <f>K15-J15+J20-K20+J24-K24</f>
        <v>0</v>
      </c>
      <c r="J61" s="681">
        <f>J10+3/10000000</f>
        <v>2.9999999999999999E-7</v>
      </c>
      <c r="K61" s="767"/>
      <c r="L61" s="76"/>
      <c r="M61" s="91">
        <f t="shared" ref="M61:M63" si="2">RANK(P61,$P$60:$P$63)</f>
        <v>2</v>
      </c>
      <c r="N61" s="69" t="str">
        <f>N10</f>
        <v>Equipe 10</v>
      </c>
      <c r="O61" s="69">
        <f>Q15-P15+P20-Q20+P24-Q24</f>
        <v>0</v>
      </c>
      <c r="P61" s="681">
        <f>P10+3/10000000</f>
        <v>2.9999999999999999E-7</v>
      </c>
      <c r="Q61" s="767"/>
      <c r="R61" s="105"/>
      <c r="S61" s="86">
        <f t="shared" ref="S61:S63" si="3">RANK(V61,$V$60:$V$63)</f>
        <v>2</v>
      </c>
      <c r="T61" s="69" t="str">
        <f>T10</f>
        <v>Equipe 14</v>
      </c>
      <c r="U61" s="69">
        <f>W15-V15+V20-W20+V24-W24</f>
        <v>0</v>
      </c>
      <c r="V61" s="681">
        <f>V10+3/10000000</f>
        <v>2.9999999999999999E-7</v>
      </c>
      <c r="W61" s="682"/>
    </row>
    <row r="62" spans="1:24" ht="14.45" hidden="1" customHeight="1" x14ac:dyDescent="0.25">
      <c r="A62" s="86">
        <f t="shared" si="0"/>
        <v>3</v>
      </c>
      <c r="B62" s="69" t="str">
        <f>B11</f>
        <v>Equipe 3</v>
      </c>
      <c r="C62" s="69">
        <f>D16-E16+E19-D19+E24-D24</f>
        <v>0</v>
      </c>
      <c r="D62" s="681">
        <f>D11+2/10000000</f>
        <v>1.9999999999999999E-7</v>
      </c>
      <c r="E62" s="767"/>
      <c r="F62" s="774"/>
      <c r="G62" s="91">
        <f t="shared" si="1"/>
        <v>3</v>
      </c>
      <c r="H62" s="69" t="str">
        <f>H11</f>
        <v>Equipe 7</v>
      </c>
      <c r="I62" s="69">
        <f>J16-K16+K19-J19+K24-J24</f>
        <v>0</v>
      </c>
      <c r="J62" s="681">
        <f>J11+2/10000000</f>
        <v>1.9999999999999999E-7</v>
      </c>
      <c r="K62" s="767"/>
      <c r="L62" s="76"/>
      <c r="M62" s="91">
        <f t="shared" si="2"/>
        <v>3</v>
      </c>
      <c r="N62" s="69" t="str">
        <f>N11</f>
        <v>Equipe 11</v>
      </c>
      <c r="O62" s="69">
        <f>P16-Q16+Q19-P19+Q24-P24</f>
        <v>0</v>
      </c>
      <c r="P62" s="681">
        <f>P11+2/10000000</f>
        <v>1.9999999999999999E-7</v>
      </c>
      <c r="Q62" s="767"/>
      <c r="R62" s="105"/>
      <c r="S62" s="86">
        <f t="shared" si="3"/>
        <v>3</v>
      </c>
      <c r="T62" s="69" t="str">
        <f>T11</f>
        <v>Equipe 15</v>
      </c>
      <c r="U62" s="69">
        <f>V16-W16+W19-V19+W24-V24</f>
        <v>0</v>
      </c>
      <c r="V62" s="681">
        <f>V11+2/10000000</f>
        <v>1.9999999999999999E-7</v>
      </c>
      <c r="W62" s="682"/>
    </row>
    <row r="63" spans="1:24" ht="14.45" hidden="1" customHeight="1" thickBot="1" x14ac:dyDescent="0.3">
      <c r="A63" s="87">
        <f t="shared" si="0"/>
        <v>4</v>
      </c>
      <c r="B63" s="88" t="str">
        <f>B12</f>
        <v>Equipe 4</v>
      </c>
      <c r="C63" s="88">
        <f>E16-D16+E20-D20+E23-D23</f>
        <v>0</v>
      </c>
      <c r="D63" s="709">
        <f>D12+1/10000000</f>
        <v>9.9999999999999995E-8</v>
      </c>
      <c r="E63" s="761"/>
      <c r="F63" s="775"/>
      <c r="G63" s="92">
        <f t="shared" si="1"/>
        <v>4</v>
      </c>
      <c r="H63" s="88" t="str">
        <f>H12</f>
        <v>Equipe 8</v>
      </c>
      <c r="I63" s="88">
        <f>K16-J16+K20-J20+K23-J23</f>
        <v>0</v>
      </c>
      <c r="J63" s="709">
        <f>J12+1/10000000</f>
        <v>9.9999999999999995E-8</v>
      </c>
      <c r="K63" s="761"/>
      <c r="L63" s="78"/>
      <c r="M63" s="92">
        <f t="shared" si="2"/>
        <v>4</v>
      </c>
      <c r="N63" s="88" t="str">
        <f>N12</f>
        <v>Equipe 12</v>
      </c>
      <c r="O63" s="88">
        <f>Q16-P16+Q20-P20+Q23-P23</f>
        <v>0</v>
      </c>
      <c r="P63" s="709">
        <f>P12+1/10000000</f>
        <v>9.9999999999999995E-8</v>
      </c>
      <c r="Q63" s="761"/>
      <c r="R63" s="123"/>
      <c r="S63" s="87">
        <f t="shared" si="3"/>
        <v>4</v>
      </c>
      <c r="T63" s="88" t="str">
        <f>T12</f>
        <v>Equipe 16</v>
      </c>
      <c r="U63" s="88">
        <f>W16-V16+W20-V20+W23-V23</f>
        <v>0</v>
      </c>
      <c r="V63" s="709">
        <f>V12+1/10000000</f>
        <v>9.9999999999999995E-8</v>
      </c>
      <c r="W63" s="710"/>
    </row>
    <row r="64" spans="1:24" hidden="1" x14ac:dyDescent="0.25">
      <c r="A64" s="700"/>
      <c r="B64" s="700"/>
      <c r="C64" s="700"/>
      <c r="D64" s="700"/>
      <c r="E64" s="700"/>
      <c r="F64" s="700"/>
      <c r="G64" s="700"/>
      <c r="H64" s="700"/>
      <c r="I64" s="700"/>
      <c r="J64" s="700"/>
      <c r="K64" s="700"/>
      <c r="L64" s="700"/>
      <c r="M64" s="700"/>
      <c r="N64" s="700"/>
      <c r="O64" s="700"/>
      <c r="P64" s="700"/>
      <c r="Q64" s="700"/>
    </row>
    <row r="65" spans="1:20" hidden="1" x14ac:dyDescent="0.25">
      <c r="A65" s="1">
        <f>IF(D15="",0,(IF(D15&gt;E15,3,IF(D15=E15,1,0))))</f>
        <v>0</v>
      </c>
      <c r="B65" s="1">
        <f>IF(E15="",0,(IF(E15&gt;D15,3,IF(E15=D15,1,0))))</f>
        <v>0</v>
      </c>
      <c r="G65" s="1">
        <f>IF(J15="",0,(IF(J15&gt;K15,3,IF(J15=K15,1,0))))</f>
        <v>0</v>
      </c>
      <c r="H65" s="1">
        <f>IF(K15="",0,(IF(K15&gt;J15,3,IF(K15=J15,1,0))))</f>
        <v>0</v>
      </c>
      <c r="M65" s="1">
        <f>IF(P15="",0,(IF(P15&gt;Q15,3,IF(P15=Q15,1,0))))</f>
        <v>0</v>
      </c>
      <c r="N65" s="1">
        <f>IF(Q15="",0,(IF(Q15&gt;P15,3,IF(Q15=P15,1,0))))</f>
        <v>0</v>
      </c>
      <c r="S65" s="1">
        <f>IF(V15="",0,(IF(V15&gt;W15,3,IF(V15=W15,1,0))))</f>
        <v>0</v>
      </c>
      <c r="T65" s="1">
        <f>IF(W15="",0,(IF(W15&gt;V15,3,IF(W15=V15,1,0))))</f>
        <v>0</v>
      </c>
    </row>
    <row r="66" spans="1:20" hidden="1" x14ac:dyDescent="0.25">
      <c r="A66" s="1">
        <f>IF(D16="",0,(IF(D16&gt;E16,3,IF(D16=E16,1,0))))</f>
        <v>0</v>
      </c>
      <c r="B66" s="1">
        <f>IF(E16="",0,(IF(E16&gt;D16,3,IF(E16=D16,1,0))))</f>
        <v>0</v>
      </c>
      <c r="G66" s="1">
        <f>IF(J16="",0,(IF(J16&gt;K16,3,IF(J16=K16,1,0))))</f>
        <v>0</v>
      </c>
      <c r="H66" s="1">
        <f>IF(K16="",0,(IF(K16&gt;J16,3,IF(K16=J16,1,0))))</f>
        <v>0</v>
      </c>
      <c r="M66" s="1">
        <f>IF(P16="",0,(IF(P16&gt;Q16,3,IF(P16=Q16,1,0))))</f>
        <v>0</v>
      </c>
      <c r="N66" s="1">
        <f>IF(Q16="",0,(IF(Q16&gt;P16,3,IF(Q16=P16,1,0))))</f>
        <v>0</v>
      </c>
      <c r="S66" s="1">
        <f>IF(V16="",0,(IF(V16&gt;W16,3,IF(V16=W16,1,0))))</f>
        <v>0</v>
      </c>
      <c r="T66" s="1">
        <f>IF(W16="",0,(IF(W16&gt;V16,3,IF(W16=V16,1,0))))</f>
        <v>0</v>
      </c>
    </row>
    <row r="67" spans="1:20" hidden="1" x14ac:dyDescent="0.25"/>
    <row r="68" spans="1:20" hidden="1" x14ac:dyDescent="0.25"/>
    <row r="69" spans="1:20" hidden="1" x14ac:dyDescent="0.25">
      <c r="A69" s="1">
        <f>IF(D19="",0,(IF(D19&gt;E19,3,IF(D19=E19,1,0))))</f>
        <v>0</v>
      </c>
      <c r="B69" s="1">
        <f>IF(E19="",0,(IF(E19&gt;D19,3,IF(E19=D19,1,0))))</f>
        <v>0</v>
      </c>
      <c r="G69" s="1">
        <f>IF(J19="",0,(IF(J19&gt;K19,3,IF(J19=K19,1,0))))</f>
        <v>0</v>
      </c>
      <c r="H69" s="1">
        <f>IF(K19="",0,(IF(K19&gt;J19,3,IF(K19=J19,1,0))))</f>
        <v>0</v>
      </c>
      <c r="M69" s="1">
        <f>IF(P19="",0,(IF(P19&gt;Q19,3,IF(P19=Q19,1,0))))</f>
        <v>0</v>
      </c>
      <c r="N69" s="1">
        <f>IF(Q19="",0,(IF(Q19&gt;P19,3,IF(Q19=P19,1,0))))</f>
        <v>0</v>
      </c>
      <c r="S69" s="1">
        <f>IF(V19="",0,(IF(V19&gt;W19,3,IF(V19=W19,1,0))))</f>
        <v>0</v>
      </c>
      <c r="T69" s="1">
        <f>IF(W19="",0,(IF(W19&gt;V19,3,IF(W19=V19,1,0))))</f>
        <v>0</v>
      </c>
    </row>
    <row r="70" spans="1:20" hidden="1" x14ac:dyDescent="0.25">
      <c r="A70" s="1">
        <f>IF(D20="",0,(IF(D20&gt;E20,3,IF(D20=E20,1,0))))</f>
        <v>0</v>
      </c>
      <c r="B70" s="1">
        <f>IF(E20="",0,(IF(E20&gt;D20,3,IF(E20=D20,1,0))))</f>
        <v>0</v>
      </c>
      <c r="G70" s="1">
        <f>IF(J20="",0,(IF(J20&gt;K20,3,IF(J20=K20,1,0))))</f>
        <v>0</v>
      </c>
      <c r="H70" s="1">
        <f>IF(K20="",0,(IF(K20&gt;J20,3,IF(K20=J20,1,0))))</f>
        <v>0</v>
      </c>
      <c r="M70" s="1">
        <f>IF(P20="",0,(IF(P20&gt;Q20,3,IF(P20=Q20,1,0))))</f>
        <v>0</v>
      </c>
      <c r="N70" s="1">
        <f>IF(Q20="",0,(IF(Q20&gt;P20,3,IF(Q20=P20,1,0))))</f>
        <v>0</v>
      </c>
      <c r="S70" s="1">
        <f>IF(V20="",0,(IF(V20&gt;W20,3,IF(V20=W20,1,0))))</f>
        <v>0</v>
      </c>
      <c r="T70" s="1">
        <f>IF(W20="",0,(IF(W20&gt;V20,3,IF(W20=V20,1,0))))</f>
        <v>0</v>
      </c>
    </row>
    <row r="71" spans="1:20" hidden="1" x14ac:dyDescent="0.25"/>
    <row r="72" spans="1:20" hidden="1" x14ac:dyDescent="0.25"/>
    <row r="73" spans="1:20" hidden="1" x14ac:dyDescent="0.25">
      <c r="A73" s="1">
        <f>IF(D23="",0,(IF(D23&gt;E23,3,IF(D23=E23,1,0))))</f>
        <v>0</v>
      </c>
      <c r="B73" s="1">
        <f>IF(E23="",0,(IF(E23&gt;D23,3,IF(E23=D23,1,0))))</f>
        <v>0</v>
      </c>
      <c r="G73" s="1">
        <f>IF(J23="",0,(IF(J23&gt;K23,3,IF(J23=K23,1,0))))</f>
        <v>0</v>
      </c>
      <c r="H73" s="1">
        <f>IF(K23="",0,(IF(K23&gt;J23,3,IF(K23=J23,1,0))))</f>
        <v>0</v>
      </c>
      <c r="M73" s="1">
        <f>IF(P23="",0,(IF(P23&gt;Q23,3,IF(P23=Q23,1,0))))</f>
        <v>0</v>
      </c>
      <c r="N73" s="1">
        <f>IF(Q23="",0,(IF(Q23&gt;P23,3,IF(Q23=P23,1,0))))</f>
        <v>0</v>
      </c>
      <c r="S73" s="1">
        <f>IF(V23="",0,(IF(V23&gt;W23,3,IF(V23=W23,1,0))))</f>
        <v>0</v>
      </c>
      <c r="T73" s="1">
        <f>IF(W23="",0,(IF(W23&gt;V23,3,IF(W23=V23,1,0))))</f>
        <v>0</v>
      </c>
    </row>
    <row r="74" spans="1:20" hidden="1" x14ac:dyDescent="0.25">
      <c r="A74" s="1">
        <f>IF(D24="",0,(IF(D24&gt;E24,3,IF(D24=E24,1,0))))</f>
        <v>0</v>
      </c>
      <c r="B74" s="1">
        <f>IF(E24="",0,(IF(E24&gt;D24,3,IF(E24=D24,1,0))))</f>
        <v>0</v>
      </c>
      <c r="G74" s="1">
        <f>IF(J24="",0,(IF(J24&gt;K24,3,IF(J24=K24,1,0))))</f>
        <v>0</v>
      </c>
      <c r="H74" s="1">
        <f>IF(K24="",0,(IF(K24&gt;J24,3,IF(K24=J24,1,0))))</f>
        <v>0</v>
      </c>
      <c r="M74" s="1">
        <f>IF(P24="",0,(IF(P24&gt;Q24,3,IF(P24=Q24,1,0))))</f>
        <v>0</v>
      </c>
      <c r="N74" s="1">
        <f>IF(Q24="",0,(IF(Q24&gt;P24,3,IF(Q24=P24,1,0))))</f>
        <v>0</v>
      </c>
      <c r="S74" s="1">
        <f>IF(V24="",0,(IF(V24&gt;W24,3,IF(V24=W24,1,0))))</f>
        <v>0</v>
      </c>
      <c r="T74" s="1">
        <f>IF(W24="",0,(IF(W24&gt;V24,3,IF(W24=V24,1,0))))</f>
        <v>0</v>
      </c>
    </row>
  </sheetData>
  <sheetProtection sheet="1" scenarios="1" selectLockedCells="1"/>
  <mergeCells count="202">
    <mergeCell ref="A64:Q64"/>
    <mergeCell ref="D62:E62"/>
    <mergeCell ref="J62:K62"/>
    <mergeCell ref="P62:Q62"/>
    <mergeCell ref="V62:W62"/>
    <mergeCell ref="D63:E63"/>
    <mergeCell ref="J63:K63"/>
    <mergeCell ref="P63:Q63"/>
    <mergeCell ref="V63:W63"/>
    <mergeCell ref="D60:E60"/>
    <mergeCell ref="J60:K60"/>
    <mergeCell ref="P60:Q60"/>
    <mergeCell ref="V60:W60"/>
    <mergeCell ref="D61:E61"/>
    <mergeCell ref="J61:K61"/>
    <mergeCell ref="P61:Q61"/>
    <mergeCell ref="V61:W61"/>
    <mergeCell ref="A58:W58"/>
    <mergeCell ref="B59:C59"/>
    <mergeCell ref="D59:E59"/>
    <mergeCell ref="F59:F63"/>
    <mergeCell ref="H59:I59"/>
    <mergeCell ref="J59:K59"/>
    <mergeCell ref="N59:O59"/>
    <mergeCell ref="P59:Q59"/>
    <mergeCell ref="T59:U59"/>
    <mergeCell ref="V59:W59"/>
    <mergeCell ref="B54:F54"/>
    <mergeCell ref="H54:L54"/>
    <mergeCell ref="N54:R54"/>
    <mergeCell ref="T54:W54"/>
    <mergeCell ref="A55:W55"/>
    <mergeCell ref="A56:W56"/>
    <mergeCell ref="B52:F52"/>
    <mergeCell ref="H52:L52"/>
    <mergeCell ref="N52:R52"/>
    <mergeCell ref="T52:W52"/>
    <mergeCell ref="B53:F53"/>
    <mergeCell ref="H53:L53"/>
    <mergeCell ref="N53:R53"/>
    <mergeCell ref="T53:W53"/>
    <mergeCell ref="T47:U47"/>
    <mergeCell ref="V47:W47"/>
    <mergeCell ref="A50:W50"/>
    <mergeCell ref="B51:F51"/>
    <mergeCell ref="H51:L51"/>
    <mergeCell ref="N51:R51"/>
    <mergeCell ref="T51:W51"/>
    <mergeCell ref="B47:C47"/>
    <mergeCell ref="D47:E47"/>
    <mergeCell ref="H47:I47"/>
    <mergeCell ref="J47:K47"/>
    <mergeCell ref="N47:O47"/>
    <mergeCell ref="P47:Q47"/>
    <mergeCell ref="T40:U40"/>
    <mergeCell ref="V40:W40"/>
    <mergeCell ref="B44:C44"/>
    <mergeCell ref="D44:E44"/>
    <mergeCell ref="H44:I44"/>
    <mergeCell ref="J44:K44"/>
    <mergeCell ref="N44:O44"/>
    <mergeCell ref="P44:Q44"/>
    <mergeCell ref="T44:U44"/>
    <mergeCell ref="V44:W44"/>
    <mergeCell ref="B40:C40"/>
    <mergeCell ref="D40:E40"/>
    <mergeCell ref="H40:I40"/>
    <mergeCell ref="J40:K40"/>
    <mergeCell ref="N40:O40"/>
    <mergeCell ref="P40:Q40"/>
    <mergeCell ref="A35:K35"/>
    <mergeCell ref="M35:W35"/>
    <mergeCell ref="B36:C36"/>
    <mergeCell ref="D36:E36"/>
    <mergeCell ref="H36:I36"/>
    <mergeCell ref="J36:K36"/>
    <mergeCell ref="N36:O36"/>
    <mergeCell ref="P36:Q36"/>
    <mergeCell ref="T36:U36"/>
    <mergeCell ref="V36:W36"/>
    <mergeCell ref="T31:U31"/>
    <mergeCell ref="V31:W31"/>
    <mergeCell ref="A32:W32"/>
    <mergeCell ref="A34:H34"/>
    <mergeCell ref="J34:L34"/>
    <mergeCell ref="O34:W34"/>
    <mergeCell ref="B31:C31"/>
    <mergeCell ref="D31:E31"/>
    <mergeCell ref="H31:I31"/>
    <mergeCell ref="J31:K31"/>
    <mergeCell ref="N31:O31"/>
    <mergeCell ref="P31:Q31"/>
    <mergeCell ref="B30:C30"/>
    <mergeCell ref="D30:E30"/>
    <mergeCell ref="H30:I30"/>
    <mergeCell ref="J30:K30"/>
    <mergeCell ref="N30:O30"/>
    <mergeCell ref="P30:Q30"/>
    <mergeCell ref="T30:U30"/>
    <mergeCell ref="V30:W30"/>
    <mergeCell ref="B29:C29"/>
    <mergeCell ref="D29:E29"/>
    <mergeCell ref="H29:I29"/>
    <mergeCell ref="J29:K29"/>
    <mergeCell ref="N29:O29"/>
    <mergeCell ref="P29:Q29"/>
    <mergeCell ref="B28:C28"/>
    <mergeCell ref="D28:E28"/>
    <mergeCell ref="H28:I28"/>
    <mergeCell ref="J28:K28"/>
    <mergeCell ref="N28:O28"/>
    <mergeCell ref="P28:Q28"/>
    <mergeCell ref="T28:U28"/>
    <mergeCell ref="V28:W28"/>
    <mergeCell ref="T29:U29"/>
    <mergeCell ref="V29:W29"/>
    <mergeCell ref="T22:U22"/>
    <mergeCell ref="V22:W22"/>
    <mergeCell ref="A26:W26"/>
    <mergeCell ref="B27:C27"/>
    <mergeCell ref="D27:E27"/>
    <mergeCell ref="H27:I27"/>
    <mergeCell ref="J27:K27"/>
    <mergeCell ref="N27:O27"/>
    <mergeCell ref="P27:Q27"/>
    <mergeCell ref="T27:U27"/>
    <mergeCell ref="B22:C22"/>
    <mergeCell ref="D22:E22"/>
    <mergeCell ref="H22:I22"/>
    <mergeCell ref="J22:K22"/>
    <mergeCell ref="N22:O22"/>
    <mergeCell ref="P22:Q22"/>
    <mergeCell ref="V27:W27"/>
    <mergeCell ref="T14:U14"/>
    <mergeCell ref="V14:W14"/>
    <mergeCell ref="B18:C18"/>
    <mergeCell ref="D18:E18"/>
    <mergeCell ref="H18:I18"/>
    <mergeCell ref="J18:K18"/>
    <mergeCell ref="N18:O18"/>
    <mergeCell ref="P18:Q18"/>
    <mergeCell ref="T18:U18"/>
    <mergeCell ref="V18:W18"/>
    <mergeCell ref="B14:C14"/>
    <mergeCell ref="D14:E14"/>
    <mergeCell ref="H14:I14"/>
    <mergeCell ref="J14:K14"/>
    <mergeCell ref="N14:O14"/>
    <mergeCell ref="P14:Q14"/>
    <mergeCell ref="T11:U11"/>
    <mergeCell ref="V11:W11"/>
    <mergeCell ref="B12:C12"/>
    <mergeCell ref="D12:E12"/>
    <mergeCell ref="H12:I12"/>
    <mergeCell ref="J12:K12"/>
    <mergeCell ref="N12:O12"/>
    <mergeCell ref="P12:Q12"/>
    <mergeCell ref="T12:U12"/>
    <mergeCell ref="V12:W12"/>
    <mergeCell ref="B11:C11"/>
    <mergeCell ref="D11:E11"/>
    <mergeCell ref="H11:I11"/>
    <mergeCell ref="J11:K11"/>
    <mergeCell ref="N11:O11"/>
    <mergeCell ref="P11:Q11"/>
    <mergeCell ref="B9:C9"/>
    <mergeCell ref="D9:E9"/>
    <mergeCell ref="H9:I9"/>
    <mergeCell ref="J9:K9"/>
    <mergeCell ref="N9:O9"/>
    <mergeCell ref="P9:Q9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A7:K7"/>
    <mergeCell ref="M7:W7"/>
    <mergeCell ref="B8:C8"/>
    <mergeCell ref="D8:E8"/>
    <mergeCell ref="H8:I8"/>
    <mergeCell ref="J8:K8"/>
    <mergeCell ref="N8:O8"/>
    <mergeCell ref="P8:Q8"/>
    <mergeCell ref="T8:U8"/>
    <mergeCell ref="V8:W8"/>
    <mergeCell ref="A1:T1"/>
    <mergeCell ref="U1:W5"/>
    <mergeCell ref="E4:G4"/>
    <mergeCell ref="I4:K4"/>
    <mergeCell ref="L4:M4"/>
    <mergeCell ref="E5:G5"/>
    <mergeCell ref="L5:M5"/>
    <mergeCell ref="R5:S5"/>
    <mergeCell ref="A6:H6"/>
    <mergeCell ref="J6:L6"/>
    <mergeCell ref="O6:W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1" orientation="landscape" horizontalDpi="300" verticalDpi="300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113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249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690"/>
      <c r="V1" s="691"/>
      <c r="W1" s="692"/>
    </row>
    <row r="2" spans="1:23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693"/>
      <c r="V2" s="694"/>
      <c r="W2" s="695"/>
    </row>
    <row r="3" spans="1:23" ht="24.95" customHeight="1" thickBot="1" x14ac:dyDescent="0.3">
      <c r="A3" s="736" t="s">
        <v>13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693"/>
      <c r="V3" s="694"/>
      <c r="W3" s="695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408"/>
      <c r="I4" s="741" t="s">
        <v>54</v>
      </c>
      <c r="J4" s="741"/>
      <c r="K4" s="741"/>
      <c r="L4" s="742">
        <f>(3*J6)+(3*J34)</f>
        <v>5.4166666666666669E-2</v>
      </c>
      <c r="M4" s="742"/>
      <c r="N4" s="264" t="s">
        <v>33</v>
      </c>
      <c r="O4" s="319"/>
      <c r="P4" s="200"/>
      <c r="Q4" s="200"/>
      <c r="R4" s="200"/>
      <c r="S4" s="200"/>
      <c r="T4" s="201"/>
      <c r="U4" s="693"/>
      <c r="V4" s="694"/>
      <c r="W4" s="695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S52-A15+J34+"00:02"</f>
        <v>0.32986111111111055</v>
      </c>
      <c r="F5" s="810"/>
      <c r="G5" s="810"/>
      <c r="H5" s="215"/>
      <c r="I5" s="216" t="s">
        <v>79</v>
      </c>
      <c r="J5" s="216"/>
      <c r="K5" s="216"/>
      <c r="L5" s="687">
        <v>0</v>
      </c>
      <c r="M5" s="688"/>
      <c r="N5" s="215"/>
      <c r="O5" s="216" t="s">
        <v>242</v>
      </c>
      <c r="P5" s="216"/>
      <c r="Q5" s="216"/>
      <c r="R5" s="687">
        <v>4.8611111111111112E-3</v>
      </c>
      <c r="S5" s="688"/>
      <c r="T5" s="320"/>
      <c r="U5" s="696"/>
      <c r="V5" s="697"/>
      <c r="W5" s="698"/>
    </row>
    <row r="6" spans="1:23" ht="16.5" thickBot="1" x14ac:dyDescent="0.3">
      <c r="A6" s="701" t="s">
        <v>35</v>
      </c>
      <c r="B6" s="685"/>
      <c r="C6" s="685"/>
      <c r="D6" s="685"/>
      <c r="E6" s="685"/>
      <c r="F6" s="685"/>
      <c r="G6" s="685"/>
      <c r="H6" s="685"/>
      <c r="I6" s="410" t="s">
        <v>18</v>
      </c>
      <c r="J6" s="782">
        <v>9.0277777777777787E-3</v>
      </c>
      <c r="K6" s="782"/>
      <c r="L6" s="782"/>
      <c r="M6" s="425" t="s">
        <v>17</v>
      </c>
      <c r="N6" s="410"/>
      <c r="O6" s="686"/>
      <c r="P6" s="686"/>
      <c r="Q6" s="686"/>
      <c r="R6" s="686"/>
      <c r="S6" s="686"/>
      <c r="T6" s="686"/>
      <c r="U6" s="686"/>
      <c r="V6" s="686"/>
      <c r="W6" s="781"/>
    </row>
    <row r="7" spans="1:23" ht="16.5" thickBot="1" x14ac:dyDescent="0.3">
      <c r="A7" s="780" t="s">
        <v>87</v>
      </c>
      <c r="B7" s="686"/>
      <c r="C7" s="686"/>
      <c r="D7" s="686"/>
      <c r="E7" s="686"/>
      <c r="F7" s="686"/>
      <c r="G7" s="686"/>
      <c r="H7" s="686"/>
      <c r="I7" s="686"/>
      <c r="J7" s="686"/>
      <c r="K7" s="781"/>
      <c r="L7" s="446"/>
      <c r="M7" s="780" t="s">
        <v>88</v>
      </c>
      <c r="N7" s="686"/>
      <c r="O7" s="686"/>
      <c r="P7" s="686"/>
      <c r="Q7" s="686"/>
      <c r="R7" s="686"/>
      <c r="S7" s="686"/>
      <c r="T7" s="686"/>
      <c r="U7" s="686"/>
      <c r="V7" s="686"/>
      <c r="W7" s="781"/>
    </row>
    <row r="8" spans="1:23" x14ac:dyDescent="0.25">
      <c r="A8" s="6"/>
      <c r="B8" s="744" t="s">
        <v>41</v>
      </c>
      <c r="C8" s="745"/>
      <c r="D8" s="744" t="s">
        <v>15</v>
      </c>
      <c r="E8" s="746"/>
      <c r="F8" s="102"/>
      <c r="G8" s="7"/>
      <c r="H8" s="747" t="s">
        <v>42</v>
      </c>
      <c r="I8" s="748"/>
      <c r="J8" s="747" t="s">
        <v>15</v>
      </c>
      <c r="K8" s="749"/>
      <c r="L8" s="76"/>
      <c r="M8" s="8"/>
      <c r="N8" s="804" t="s">
        <v>43</v>
      </c>
      <c r="O8" s="805"/>
      <c r="P8" s="804" t="s">
        <v>15</v>
      </c>
      <c r="Q8" s="806"/>
      <c r="R8" s="2"/>
      <c r="S8" s="9"/>
      <c r="T8" s="807" t="s">
        <v>55</v>
      </c>
      <c r="U8" s="808"/>
      <c r="V8" s="807" t="s">
        <v>15</v>
      </c>
      <c r="W8" s="809"/>
    </row>
    <row r="9" spans="1:23" x14ac:dyDescent="0.25">
      <c r="A9" s="10">
        <v>1</v>
      </c>
      <c r="B9" s="731" t="s">
        <v>22</v>
      </c>
      <c r="C9" s="732"/>
      <c r="D9" s="725">
        <f>A76+A80+A84+C65/1000000</f>
        <v>0</v>
      </c>
      <c r="E9" s="726"/>
      <c r="F9" s="103"/>
      <c r="G9" s="11">
        <v>1</v>
      </c>
      <c r="H9" s="727" t="s">
        <v>26</v>
      </c>
      <c r="I9" s="728"/>
      <c r="J9" s="729">
        <f>G76+G80+G84+I65/1000000</f>
        <v>0</v>
      </c>
      <c r="K9" s="730"/>
      <c r="L9" s="76"/>
      <c r="M9" s="12">
        <v>1</v>
      </c>
      <c r="N9" s="800" t="s">
        <v>37</v>
      </c>
      <c r="O9" s="801"/>
      <c r="P9" s="802">
        <f>M76+M80+M84+O65/1000000</f>
        <v>0</v>
      </c>
      <c r="Q9" s="803"/>
      <c r="R9" s="2"/>
      <c r="S9" s="13">
        <v>1</v>
      </c>
      <c r="T9" s="796" t="s">
        <v>56</v>
      </c>
      <c r="U9" s="797"/>
      <c r="V9" s="798">
        <f>S76+S80+S84+U65/1000000</f>
        <v>0</v>
      </c>
      <c r="W9" s="799"/>
    </row>
    <row r="10" spans="1:23" x14ac:dyDescent="0.25">
      <c r="A10" s="10">
        <v>2</v>
      </c>
      <c r="B10" s="731" t="s">
        <v>23</v>
      </c>
      <c r="C10" s="732"/>
      <c r="D10" s="725">
        <f>B76+A81+A85+C66/1000000</f>
        <v>0</v>
      </c>
      <c r="E10" s="726"/>
      <c r="F10" s="103"/>
      <c r="G10" s="11">
        <v>2</v>
      </c>
      <c r="H10" s="727" t="s">
        <v>27</v>
      </c>
      <c r="I10" s="728"/>
      <c r="J10" s="729">
        <f>H76+G81+G85+I66/1000000</f>
        <v>0</v>
      </c>
      <c r="K10" s="730"/>
      <c r="L10" s="76"/>
      <c r="M10" s="12">
        <v>2</v>
      </c>
      <c r="N10" s="800" t="s">
        <v>38</v>
      </c>
      <c r="O10" s="801"/>
      <c r="P10" s="802">
        <f>N76+M81+M85+O66/1000000</f>
        <v>0</v>
      </c>
      <c r="Q10" s="803"/>
      <c r="R10" s="2"/>
      <c r="S10" s="13">
        <v>2</v>
      </c>
      <c r="T10" s="796" t="s">
        <v>57</v>
      </c>
      <c r="U10" s="797"/>
      <c r="V10" s="798">
        <f>T76+S81+S85+U66/1000000</f>
        <v>0</v>
      </c>
      <c r="W10" s="799"/>
    </row>
    <row r="11" spans="1:23" x14ac:dyDescent="0.25">
      <c r="A11" s="10">
        <v>3</v>
      </c>
      <c r="B11" s="731" t="s">
        <v>24</v>
      </c>
      <c r="C11" s="732"/>
      <c r="D11" s="725">
        <f>A77+B80+B85+C67/1000000</f>
        <v>0</v>
      </c>
      <c r="E11" s="726"/>
      <c r="F11" s="103"/>
      <c r="G11" s="11">
        <v>3</v>
      </c>
      <c r="H11" s="727" t="s">
        <v>28</v>
      </c>
      <c r="I11" s="728"/>
      <c r="J11" s="729">
        <f>G77+H80+H85+I67/1000000</f>
        <v>0</v>
      </c>
      <c r="K11" s="730"/>
      <c r="L11" s="76"/>
      <c r="M11" s="12">
        <v>3</v>
      </c>
      <c r="N11" s="800" t="s">
        <v>39</v>
      </c>
      <c r="O11" s="801"/>
      <c r="P11" s="802">
        <f>M77+N80+N85+O67/1000000</f>
        <v>0</v>
      </c>
      <c r="Q11" s="803"/>
      <c r="R11" s="2"/>
      <c r="S11" s="13">
        <v>3</v>
      </c>
      <c r="T11" s="796" t="s">
        <v>58</v>
      </c>
      <c r="U11" s="797"/>
      <c r="V11" s="798">
        <f>S77+T80+T85+U67/1000000</f>
        <v>0</v>
      </c>
      <c r="W11" s="799"/>
    </row>
    <row r="12" spans="1:23" ht="15.75" thickBot="1" x14ac:dyDescent="0.3">
      <c r="A12" s="15">
        <v>4</v>
      </c>
      <c r="B12" s="717" t="s">
        <v>25</v>
      </c>
      <c r="C12" s="718"/>
      <c r="D12" s="719">
        <f>B77+B81+B84+C68/1000000</f>
        <v>0</v>
      </c>
      <c r="E12" s="720"/>
      <c r="F12" s="103"/>
      <c r="G12" s="16">
        <v>4</v>
      </c>
      <c r="H12" s="721" t="s">
        <v>29</v>
      </c>
      <c r="I12" s="722"/>
      <c r="J12" s="723">
        <f>H77+H81+H84+I68/1000000</f>
        <v>0</v>
      </c>
      <c r="K12" s="724"/>
      <c r="L12" s="76"/>
      <c r="M12" s="17">
        <v>4</v>
      </c>
      <c r="N12" s="792" t="s">
        <v>40</v>
      </c>
      <c r="O12" s="793"/>
      <c r="P12" s="794">
        <f>N77+N81+N84+O68/1000000</f>
        <v>0</v>
      </c>
      <c r="Q12" s="795"/>
      <c r="R12" s="2"/>
      <c r="S12" s="18">
        <v>4</v>
      </c>
      <c r="T12" s="788" t="s">
        <v>59</v>
      </c>
      <c r="U12" s="789"/>
      <c r="V12" s="790">
        <f>T77+T81+T84+U68/1000000</f>
        <v>0</v>
      </c>
      <c r="W12" s="791"/>
    </row>
    <row r="13" spans="1:23" ht="5.0999999999999996" customHeight="1" thickBot="1" x14ac:dyDescent="0.3">
      <c r="A13" s="19"/>
      <c r="B13" s="2"/>
      <c r="C13" s="2"/>
      <c r="D13" s="2"/>
      <c r="E13" s="2"/>
      <c r="F13" s="2"/>
      <c r="G13" s="2"/>
      <c r="H13" s="2"/>
      <c r="I13" s="22"/>
      <c r="J13" s="2"/>
      <c r="K13" s="2"/>
      <c r="L13" s="85"/>
      <c r="M13" s="2"/>
      <c r="N13" s="2"/>
      <c r="O13" s="2"/>
      <c r="P13" s="2"/>
      <c r="Q13" s="2"/>
      <c r="R13" s="2"/>
      <c r="S13" s="2"/>
      <c r="T13" s="2"/>
      <c r="U13" s="2"/>
      <c r="V13" s="2"/>
      <c r="W13" s="21"/>
    </row>
    <row r="14" spans="1:23" s="29" customFormat="1" x14ac:dyDescent="0.25">
      <c r="A14" s="24"/>
      <c r="B14" s="713" t="s">
        <v>5</v>
      </c>
      <c r="C14" s="713"/>
      <c r="D14" s="713" t="s">
        <v>16</v>
      </c>
      <c r="E14" s="714"/>
      <c r="F14" s="25"/>
      <c r="G14" s="26"/>
      <c r="H14" s="715" t="s">
        <v>5</v>
      </c>
      <c r="I14" s="715"/>
      <c r="J14" s="715" t="s">
        <v>16</v>
      </c>
      <c r="K14" s="716"/>
      <c r="L14" s="77"/>
      <c r="M14" s="27"/>
      <c r="N14" s="786" t="s">
        <v>5</v>
      </c>
      <c r="O14" s="786"/>
      <c r="P14" s="786" t="s">
        <v>16</v>
      </c>
      <c r="Q14" s="787"/>
      <c r="R14" s="25"/>
      <c r="S14" s="28"/>
      <c r="T14" s="784" t="s">
        <v>5</v>
      </c>
      <c r="U14" s="784"/>
      <c r="V14" s="784" t="s">
        <v>16</v>
      </c>
      <c r="W14" s="785"/>
    </row>
    <row r="15" spans="1:23" x14ac:dyDescent="0.25">
      <c r="A15" s="30">
        <f>E4</f>
        <v>0.375</v>
      </c>
      <c r="B15" s="31" t="str">
        <f>B9</f>
        <v>Equipe 1</v>
      </c>
      <c r="C15" s="31" t="str">
        <f>B10</f>
        <v>Equipe 2</v>
      </c>
      <c r="D15" s="53"/>
      <c r="E15" s="54"/>
      <c r="F15" s="2"/>
      <c r="G15" s="32">
        <f>A16+$J$6+R5</f>
        <v>0.40277777777777779</v>
      </c>
      <c r="H15" s="33" t="str">
        <f>H9</f>
        <v>Equipe 5</v>
      </c>
      <c r="I15" s="33" t="str">
        <f>H10</f>
        <v>Equipe 6</v>
      </c>
      <c r="J15" s="57"/>
      <c r="K15" s="58"/>
      <c r="L15" s="76"/>
      <c r="M15" s="34">
        <f>E4</f>
        <v>0.375</v>
      </c>
      <c r="N15" s="35" t="str">
        <f>N9</f>
        <v>Equipe 9</v>
      </c>
      <c r="O15" s="35" t="str">
        <f>N10</f>
        <v>Equipe 10</v>
      </c>
      <c r="P15" s="61"/>
      <c r="Q15" s="62"/>
      <c r="R15" s="2"/>
      <c r="S15" s="36">
        <f>M16+$J$6+R5</f>
        <v>0.40277777777777779</v>
      </c>
      <c r="T15" s="37" t="str">
        <f>T9</f>
        <v>Equipe 13</v>
      </c>
      <c r="U15" s="37" t="str">
        <f>T10</f>
        <v>Equipe 14</v>
      </c>
      <c r="V15" s="65"/>
      <c r="W15" s="66"/>
    </row>
    <row r="16" spans="1:23" ht="15.75" thickBot="1" x14ac:dyDescent="0.3">
      <c r="A16" s="38">
        <f>A15+$J$6+R5</f>
        <v>0.3888888888888889</v>
      </c>
      <c r="B16" s="39" t="str">
        <f>B11</f>
        <v>Equipe 3</v>
      </c>
      <c r="C16" s="39" t="str">
        <f>B12</f>
        <v>Equipe 4</v>
      </c>
      <c r="D16" s="55"/>
      <c r="E16" s="56"/>
      <c r="F16" s="2"/>
      <c r="G16" s="40">
        <f>G15+$J$6+R5</f>
        <v>0.41666666666666669</v>
      </c>
      <c r="H16" s="41" t="str">
        <f>H11</f>
        <v>Equipe 7</v>
      </c>
      <c r="I16" s="41" t="str">
        <f>H12</f>
        <v>Equipe 8</v>
      </c>
      <c r="J16" s="59"/>
      <c r="K16" s="60"/>
      <c r="L16" s="76"/>
      <c r="M16" s="42">
        <f>M15+$J$6+R5</f>
        <v>0.3888888888888889</v>
      </c>
      <c r="N16" s="43" t="str">
        <f>N11</f>
        <v>Equipe 11</v>
      </c>
      <c r="O16" s="43" t="str">
        <f>N12</f>
        <v>Equipe 12</v>
      </c>
      <c r="P16" s="63"/>
      <c r="Q16" s="64"/>
      <c r="R16" s="2"/>
      <c r="S16" s="44">
        <f>S15+$J$6+R5</f>
        <v>0.41666666666666669</v>
      </c>
      <c r="T16" s="45" t="str">
        <f>T11</f>
        <v>Equipe 15</v>
      </c>
      <c r="U16" s="45" t="str">
        <f>T12</f>
        <v>Equipe 16</v>
      </c>
      <c r="V16" s="67"/>
      <c r="W16" s="68"/>
    </row>
    <row r="17" spans="1:23" ht="5.0999999999999996" customHeight="1" thickBot="1" x14ac:dyDescent="0.3">
      <c r="A17" s="19"/>
      <c r="B17" s="2"/>
      <c r="C17" s="2"/>
      <c r="D17" s="411"/>
      <c r="E17" s="411"/>
      <c r="F17" s="2"/>
      <c r="G17" s="2"/>
      <c r="H17" s="2"/>
      <c r="I17" s="47"/>
      <c r="J17" s="411"/>
      <c r="K17" s="411"/>
      <c r="L17" s="85"/>
      <c r="M17" s="2"/>
      <c r="N17" s="2"/>
      <c r="O17" s="2"/>
      <c r="P17" s="411"/>
      <c r="Q17" s="411"/>
      <c r="R17" s="2"/>
      <c r="S17" s="2"/>
      <c r="T17" s="2"/>
      <c r="U17" s="2"/>
      <c r="V17" s="411"/>
      <c r="W17" s="412"/>
    </row>
    <row r="18" spans="1:23" s="29" customFormat="1" x14ac:dyDescent="0.25">
      <c r="A18" s="24"/>
      <c r="B18" s="713" t="s">
        <v>6</v>
      </c>
      <c r="C18" s="713"/>
      <c r="D18" s="713" t="s">
        <v>16</v>
      </c>
      <c r="E18" s="714"/>
      <c r="F18" s="25"/>
      <c r="G18" s="26"/>
      <c r="H18" s="715" t="s">
        <v>6</v>
      </c>
      <c r="I18" s="715"/>
      <c r="J18" s="715" t="s">
        <v>16</v>
      </c>
      <c r="K18" s="716"/>
      <c r="L18" s="77"/>
      <c r="M18" s="27"/>
      <c r="N18" s="786" t="s">
        <v>6</v>
      </c>
      <c r="O18" s="786"/>
      <c r="P18" s="786" t="s">
        <v>16</v>
      </c>
      <c r="Q18" s="787"/>
      <c r="R18" s="25"/>
      <c r="S18" s="28"/>
      <c r="T18" s="784" t="s">
        <v>6</v>
      </c>
      <c r="U18" s="784"/>
      <c r="V18" s="784" t="s">
        <v>16</v>
      </c>
      <c r="W18" s="785"/>
    </row>
    <row r="19" spans="1:23" x14ac:dyDescent="0.25">
      <c r="A19" s="30">
        <f>G16+$J$6+R5</f>
        <v>0.43055555555555558</v>
      </c>
      <c r="B19" s="31" t="str">
        <f>B9</f>
        <v>Equipe 1</v>
      </c>
      <c r="C19" s="31" t="str">
        <f>B11</f>
        <v>Equipe 3</v>
      </c>
      <c r="D19" s="53"/>
      <c r="E19" s="54"/>
      <c r="F19" s="2"/>
      <c r="G19" s="32">
        <f>A20+$J$6+R5</f>
        <v>0.45833333333333337</v>
      </c>
      <c r="H19" s="33" t="str">
        <f>H9</f>
        <v>Equipe 5</v>
      </c>
      <c r="I19" s="33" t="str">
        <f>H11</f>
        <v>Equipe 7</v>
      </c>
      <c r="J19" s="57"/>
      <c r="K19" s="58"/>
      <c r="L19" s="76"/>
      <c r="M19" s="34">
        <f>S16+$J$6+R5</f>
        <v>0.43055555555555558</v>
      </c>
      <c r="N19" s="35" t="str">
        <f>N9</f>
        <v>Equipe 9</v>
      </c>
      <c r="O19" s="35" t="str">
        <f>N11</f>
        <v>Equipe 11</v>
      </c>
      <c r="P19" s="61"/>
      <c r="Q19" s="62"/>
      <c r="R19" s="2"/>
      <c r="S19" s="36">
        <f>M20+$J$6+R5</f>
        <v>0.45833333333333337</v>
      </c>
      <c r="T19" s="37" t="str">
        <f>T9</f>
        <v>Equipe 13</v>
      </c>
      <c r="U19" s="37" t="str">
        <f>T11</f>
        <v>Equipe 15</v>
      </c>
      <c r="V19" s="65"/>
      <c r="W19" s="66"/>
    </row>
    <row r="20" spans="1:23" ht="15.75" thickBot="1" x14ac:dyDescent="0.3">
      <c r="A20" s="38">
        <f>A19+$J$6+R5</f>
        <v>0.44444444444444448</v>
      </c>
      <c r="B20" s="39" t="str">
        <f>B10</f>
        <v>Equipe 2</v>
      </c>
      <c r="C20" s="39" t="str">
        <f>B12</f>
        <v>Equipe 4</v>
      </c>
      <c r="D20" s="55"/>
      <c r="E20" s="56"/>
      <c r="F20" s="2"/>
      <c r="G20" s="40">
        <f>G19+$J$6+R5</f>
        <v>0.47222222222222227</v>
      </c>
      <c r="H20" s="41" t="str">
        <f>H10</f>
        <v>Equipe 6</v>
      </c>
      <c r="I20" s="41" t="str">
        <f>H12</f>
        <v>Equipe 8</v>
      </c>
      <c r="J20" s="59"/>
      <c r="K20" s="60"/>
      <c r="L20" s="76"/>
      <c r="M20" s="42">
        <f>M19+$J$6+R5</f>
        <v>0.44444444444444448</v>
      </c>
      <c r="N20" s="43" t="str">
        <f>N10</f>
        <v>Equipe 10</v>
      </c>
      <c r="O20" s="43" t="str">
        <f>N12</f>
        <v>Equipe 12</v>
      </c>
      <c r="P20" s="63"/>
      <c r="Q20" s="64"/>
      <c r="R20" s="2"/>
      <c r="S20" s="44">
        <f>S19+$J$6+R5</f>
        <v>0.47222222222222227</v>
      </c>
      <c r="T20" s="45" t="str">
        <f>T10</f>
        <v>Equipe 14</v>
      </c>
      <c r="U20" s="45" t="str">
        <f>T12</f>
        <v>Equipe 16</v>
      </c>
      <c r="V20" s="67"/>
      <c r="W20" s="68"/>
    </row>
    <row r="21" spans="1:23" ht="5.0999999999999996" customHeight="1" thickBot="1" x14ac:dyDescent="0.3">
      <c r="A21" s="19"/>
      <c r="B21" s="2"/>
      <c r="C21" s="2"/>
      <c r="D21" s="411"/>
      <c r="E21" s="411"/>
      <c r="F21" s="2"/>
      <c r="G21" s="2"/>
      <c r="H21" s="2"/>
      <c r="I21" s="47"/>
      <c r="J21" s="411"/>
      <c r="K21" s="411"/>
      <c r="L21" s="85"/>
      <c r="M21" s="2"/>
      <c r="N21" s="2"/>
      <c r="O21" s="2"/>
      <c r="P21" s="411"/>
      <c r="Q21" s="411"/>
      <c r="R21" s="2"/>
      <c r="S21" s="2"/>
      <c r="T21" s="2"/>
      <c r="U21" s="2"/>
      <c r="V21" s="411"/>
      <c r="W21" s="412"/>
    </row>
    <row r="22" spans="1:23" s="29" customFormat="1" x14ac:dyDescent="0.25">
      <c r="A22" s="24"/>
      <c r="B22" s="713" t="s">
        <v>7</v>
      </c>
      <c r="C22" s="713"/>
      <c r="D22" s="713" t="s">
        <v>16</v>
      </c>
      <c r="E22" s="714"/>
      <c r="F22" s="25"/>
      <c r="G22" s="26"/>
      <c r="H22" s="715" t="s">
        <v>7</v>
      </c>
      <c r="I22" s="715"/>
      <c r="J22" s="715" t="s">
        <v>16</v>
      </c>
      <c r="K22" s="716"/>
      <c r="L22" s="77"/>
      <c r="M22" s="27"/>
      <c r="N22" s="786" t="s">
        <v>7</v>
      </c>
      <c r="O22" s="786"/>
      <c r="P22" s="786" t="s">
        <v>16</v>
      </c>
      <c r="Q22" s="787"/>
      <c r="R22" s="25"/>
      <c r="S22" s="28"/>
      <c r="T22" s="784" t="s">
        <v>7</v>
      </c>
      <c r="U22" s="784"/>
      <c r="V22" s="784" t="s">
        <v>16</v>
      </c>
      <c r="W22" s="785"/>
    </row>
    <row r="23" spans="1:23" x14ac:dyDescent="0.25">
      <c r="A23" s="30">
        <f>G20+$J$6+R5</f>
        <v>0.48611111111111116</v>
      </c>
      <c r="B23" s="31" t="str">
        <f>B9</f>
        <v>Equipe 1</v>
      </c>
      <c r="C23" s="31" t="str">
        <f>B12</f>
        <v>Equipe 4</v>
      </c>
      <c r="D23" s="53"/>
      <c r="E23" s="54"/>
      <c r="F23" s="2"/>
      <c r="G23" s="32">
        <f>A24+$J$6+R5</f>
        <v>0.51388888888888895</v>
      </c>
      <c r="H23" s="33" t="str">
        <f>H9</f>
        <v>Equipe 5</v>
      </c>
      <c r="I23" s="33" t="str">
        <f>H12</f>
        <v>Equipe 8</v>
      </c>
      <c r="J23" s="57"/>
      <c r="K23" s="58"/>
      <c r="L23" s="76"/>
      <c r="M23" s="34">
        <f>S20+$J$6+R5</f>
        <v>0.48611111111111116</v>
      </c>
      <c r="N23" s="35" t="str">
        <f>N9</f>
        <v>Equipe 9</v>
      </c>
      <c r="O23" s="35" t="str">
        <f>N12</f>
        <v>Equipe 12</v>
      </c>
      <c r="P23" s="61"/>
      <c r="Q23" s="62"/>
      <c r="R23" s="2"/>
      <c r="S23" s="36">
        <f>M24+$J$6+R5</f>
        <v>0.51388888888888895</v>
      </c>
      <c r="T23" s="37" t="str">
        <f>T9</f>
        <v>Equipe 13</v>
      </c>
      <c r="U23" s="37" t="str">
        <f>T12</f>
        <v>Equipe 16</v>
      </c>
      <c r="V23" s="65"/>
      <c r="W23" s="66"/>
    </row>
    <row r="24" spans="1:23" ht="15.75" thickBot="1" x14ac:dyDescent="0.3">
      <c r="A24" s="38">
        <f>A23+$J$6+R5</f>
        <v>0.50000000000000011</v>
      </c>
      <c r="B24" s="39" t="str">
        <f>B10</f>
        <v>Equipe 2</v>
      </c>
      <c r="C24" s="39" t="str">
        <f>B11</f>
        <v>Equipe 3</v>
      </c>
      <c r="D24" s="55"/>
      <c r="E24" s="56"/>
      <c r="F24" s="47"/>
      <c r="G24" s="40">
        <f>G23+$J$6+R5</f>
        <v>0.52777777777777779</v>
      </c>
      <c r="H24" s="41" t="str">
        <f>H10</f>
        <v>Equipe 6</v>
      </c>
      <c r="I24" s="41" t="str">
        <f>H11</f>
        <v>Equipe 7</v>
      </c>
      <c r="J24" s="59"/>
      <c r="K24" s="60"/>
      <c r="L24" s="78"/>
      <c r="M24" s="42">
        <f>M23+$J$6+R5</f>
        <v>0.50000000000000011</v>
      </c>
      <c r="N24" s="43" t="str">
        <f>N10</f>
        <v>Equipe 10</v>
      </c>
      <c r="O24" s="43" t="str">
        <f>N11</f>
        <v>Equipe 11</v>
      </c>
      <c r="P24" s="63"/>
      <c r="Q24" s="64"/>
      <c r="R24" s="47"/>
      <c r="S24" s="44">
        <f>S23+$J$6+R5</f>
        <v>0.52777777777777779</v>
      </c>
      <c r="T24" s="45" t="str">
        <f>T10</f>
        <v>Equipe 14</v>
      </c>
      <c r="U24" s="45" t="str">
        <f>T11</f>
        <v>Equipe 15</v>
      </c>
      <c r="V24" s="67"/>
      <c r="W24" s="68"/>
    </row>
    <row r="25" spans="1:23" ht="5.0999999999999996" customHeight="1" thickBot="1" x14ac:dyDescent="0.3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73"/>
      <c r="L25" s="89"/>
      <c r="M25" s="120"/>
      <c r="N25" s="119"/>
      <c r="O25" s="119"/>
      <c r="P25" s="173"/>
      <c r="Q25" s="173"/>
      <c r="R25" s="89"/>
      <c r="S25" s="93"/>
      <c r="T25" s="428"/>
      <c r="U25" s="428"/>
      <c r="V25" s="116"/>
      <c r="W25" s="117"/>
    </row>
    <row r="26" spans="1:23" ht="16.5" thickBot="1" x14ac:dyDescent="0.3">
      <c r="A26" s="783" t="s">
        <v>60</v>
      </c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3"/>
    </row>
    <row r="27" spans="1:23" x14ac:dyDescent="0.25">
      <c r="A27" s="81" t="s">
        <v>21</v>
      </c>
      <c r="B27" s="711" t="s">
        <v>41</v>
      </c>
      <c r="C27" s="711"/>
      <c r="D27" s="711" t="s">
        <v>15</v>
      </c>
      <c r="E27" s="712"/>
      <c r="F27" s="122"/>
      <c r="G27" s="81" t="s">
        <v>21</v>
      </c>
      <c r="H27" s="711" t="s">
        <v>42</v>
      </c>
      <c r="I27" s="711"/>
      <c r="J27" s="711" t="s">
        <v>15</v>
      </c>
      <c r="K27" s="712"/>
      <c r="L27" s="75"/>
      <c r="M27" s="81" t="s">
        <v>21</v>
      </c>
      <c r="N27" s="711" t="s">
        <v>43</v>
      </c>
      <c r="O27" s="711"/>
      <c r="P27" s="711" t="s">
        <v>15</v>
      </c>
      <c r="Q27" s="712"/>
      <c r="R27" s="122"/>
      <c r="S27" s="81" t="s">
        <v>21</v>
      </c>
      <c r="T27" s="711" t="s">
        <v>55</v>
      </c>
      <c r="U27" s="711"/>
      <c r="V27" s="711" t="s">
        <v>15</v>
      </c>
      <c r="W27" s="712"/>
    </row>
    <row r="28" spans="1:23" x14ac:dyDescent="0.25">
      <c r="A28" s="49">
        <v>1</v>
      </c>
      <c r="B28" s="680" t="str">
        <f>VLOOKUP($A28,$A$65:$D$68,2,FALSE)</f>
        <v>Equipe 1</v>
      </c>
      <c r="C28" s="680"/>
      <c r="D28" s="683">
        <f>VLOOKUP($A28,$A$65:$D$68,4,FALSE)</f>
        <v>3.9999999999999998E-7</v>
      </c>
      <c r="E28" s="684"/>
      <c r="F28" s="105"/>
      <c r="G28" s="49">
        <v>1</v>
      </c>
      <c r="H28" s="680" t="str">
        <f>VLOOKUP($G28,$G$65:$J$68,2,FALSE)</f>
        <v>Equipe 5</v>
      </c>
      <c r="I28" s="680"/>
      <c r="J28" s="681">
        <f>VLOOKUP($G28,$G$65:$J$68,4,FALSE)</f>
        <v>3.9999999999999998E-7</v>
      </c>
      <c r="K28" s="682"/>
      <c r="L28" s="76"/>
      <c r="M28" s="49">
        <v>1</v>
      </c>
      <c r="N28" s="680" t="str">
        <f>VLOOKUP($M28,$M$65:$P$68,2,FALSE)</f>
        <v>Equipe 9</v>
      </c>
      <c r="O28" s="680"/>
      <c r="P28" s="681">
        <f>VLOOKUP($M28,$M$65:$P$68,4,FALSE)</f>
        <v>3.9999999999999998E-7</v>
      </c>
      <c r="Q28" s="682"/>
      <c r="R28" s="105"/>
      <c r="S28" s="49">
        <v>1</v>
      </c>
      <c r="T28" s="680" t="str">
        <f>VLOOKUP($S28,$S$65:$V$68,2,FALSE)</f>
        <v>Equipe 13</v>
      </c>
      <c r="U28" s="680"/>
      <c r="V28" s="681">
        <f>VLOOKUP($S28,$S$65:$V$68,4,FALSE)</f>
        <v>3.9999999999999998E-7</v>
      </c>
      <c r="W28" s="682"/>
    </row>
    <row r="29" spans="1:23" x14ac:dyDescent="0.25">
      <c r="A29" s="49">
        <v>2</v>
      </c>
      <c r="B29" s="680" t="str">
        <f>VLOOKUP($A29,$A$65:$D$68,2,FALSE)</f>
        <v>Equipe 2</v>
      </c>
      <c r="C29" s="680"/>
      <c r="D29" s="683">
        <f>VLOOKUP($A29,$A$65:$D$68,4,FALSE)</f>
        <v>2.9999999999999999E-7</v>
      </c>
      <c r="E29" s="684"/>
      <c r="F29" s="105"/>
      <c r="G29" s="49">
        <v>2</v>
      </c>
      <c r="H29" s="680" t="str">
        <f>VLOOKUP($G29,$G$65:$J$68,2,FALSE)</f>
        <v>Equipe 6</v>
      </c>
      <c r="I29" s="680"/>
      <c r="J29" s="681">
        <f>VLOOKUP($G29,$G$65:$J$68,4,FALSE)</f>
        <v>2.9999999999999999E-7</v>
      </c>
      <c r="K29" s="682"/>
      <c r="L29" s="76"/>
      <c r="M29" s="49">
        <v>2</v>
      </c>
      <c r="N29" s="680" t="str">
        <f>VLOOKUP($M29,$M$65:$P$68,2,FALSE)</f>
        <v>Equipe 10</v>
      </c>
      <c r="O29" s="680"/>
      <c r="P29" s="681">
        <f>VLOOKUP($M29,$M$65:$P$68,4,FALSE)</f>
        <v>2.9999999999999999E-7</v>
      </c>
      <c r="Q29" s="682"/>
      <c r="R29" s="105"/>
      <c r="S29" s="49">
        <v>2</v>
      </c>
      <c r="T29" s="680" t="str">
        <f>VLOOKUP($S29,$S$65:$V$68,2,FALSE)</f>
        <v>Equipe 14</v>
      </c>
      <c r="U29" s="680"/>
      <c r="V29" s="681">
        <f>VLOOKUP($S29,$S$65:$V$68,4,FALSE)</f>
        <v>2.9999999999999999E-7</v>
      </c>
      <c r="W29" s="682"/>
    </row>
    <row r="30" spans="1:23" x14ac:dyDescent="0.25">
      <c r="A30" s="49">
        <v>3</v>
      </c>
      <c r="B30" s="680" t="str">
        <f>VLOOKUP($A30,$A$65:$D$68,2,FALSE)</f>
        <v>Equipe 3</v>
      </c>
      <c r="C30" s="680"/>
      <c r="D30" s="683">
        <f>VLOOKUP($A30,$A$65:$D$68,4,FALSE)</f>
        <v>1.9999999999999999E-7</v>
      </c>
      <c r="E30" s="684"/>
      <c r="F30" s="105"/>
      <c r="G30" s="49">
        <v>3</v>
      </c>
      <c r="H30" s="680" t="str">
        <f>VLOOKUP($G30,$G$65:$J$68,2,FALSE)</f>
        <v>Equipe 7</v>
      </c>
      <c r="I30" s="680"/>
      <c r="J30" s="681">
        <f>VLOOKUP($G30,$G$65:$J$68,4,FALSE)</f>
        <v>1.9999999999999999E-7</v>
      </c>
      <c r="K30" s="682"/>
      <c r="L30" s="76"/>
      <c r="M30" s="49">
        <v>3</v>
      </c>
      <c r="N30" s="680" t="str">
        <f>VLOOKUP($M30,$M$65:$P$68,2,FALSE)</f>
        <v>Equipe 11</v>
      </c>
      <c r="O30" s="680"/>
      <c r="P30" s="681">
        <f>VLOOKUP($M30,$M$65:$P$68,4,FALSE)</f>
        <v>1.9999999999999999E-7</v>
      </c>
      <c r="Q30" s="682"/>
      <c r="R30" s="105"/>
      <c r="S30" s="49">
        <v>3</v>
      </c>
      <c r="T30" s="680" t="str">
        <f>VLOOKUP($S30,$S$65:$V$68,2,FALSE)</f>
        <v>Equipe 15</v>
      </c>
      <c r="U30" s="680"/>
      <c r="V30" s="681">
        <f>VLOOKUP($S30,$S$65:$V$68,4,FALSE)</f>
        <v>1.9999999999999999E-7</v>
      </c>
      <c r="W30" s="682"/>
    </row>
    <row r="31" spans="1:23" ht="15.75" thickBot="1" x14ac:dyDescent="0.3">
      <c r="A31" s="50">
        <v>4</v>
      </c>
      <c r="B31" s="706" t="str">
        <f>VLOOKUP($A31,$A$65:$D$68,2,FALSE)</f>
        <v>Equipe 4</v>
      </c>
      <c r="C31" s="706"/>
      <c r="D31" s="707">
        <f>VLOOKUP($A31,$A$65:$D$68,4,FALSE)</f>
        <v>9.9999999999999995E-8</v>
      </c>
      <c r="E31" s="708"/>
      <c r="F31" s="123"/>
      <c r="G31" s="50">
        <v>4</v>
      </c>
      <c r="H31" s="706" t="str">
        <f>VLOOKUP($G31,$G$65:$J$68,2,FALSE)</f>
        <v>Equipe 8</v>
      </c>
      <c r="I31" s="706"/>
      <c r="J31" s="709">
        <f>VLOOKUP($G31,$G$65:$J$68,4,FALSE)</f>
        <v>9.9999999999999995E-8</v>
      </c>
      <c r="K31" s="710"/>
      <c r="L31" s="78"/>
      <c r="M31" s="50">
        <v>4</v>
      </c>
      <c r="N31" s="706" t="str">
        <f>VLOOKUP($M31,$M$65:$P$68,2,FALSE)</f>
        <v>Equipe 12</v>
      </c>
      <c r="O31" s="706"/>
      <c r="P31" s="709">
        <f>VLOOKUP($M31,$M$65:$P$68,4,FALSE)</f>
        <v>9.9999999999999995E-8</v>
      </c>
      <c r="Q31" s="710"/>
      <c r="R31" s="123"/>
      <c r="S31" s="50">
        <v>4</v>
      </c>
      <c r="T31" s="706" t="str">
        <f>VLOOKUP($S31,$S$65:$V$68,2,FALSE)</f>
        <v>Equipe 16</v>
      </c>
      <c r="U31" s="706"/>
      <c r="V31" s="709">
        <f>VLOOKUP($S31,$S$65:$V$68,4,FALSE)</f>
        <v>9.9999999999999995E-8</v>
      </c>
      <c r="W31" s="710"/>
    </row>
    <row r="32" spans="1:23" ht="15.75" thickBot="1" x14ac:dyDescent="0.3">
      <c r="A32" s="703" t="s">
        <v>34</v>
      </c>
      <c r="B32" s="704"/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5"/>
    </row>
    <row r="33" spans="1:24" ht="24.95" customHeight="1" thickBot="1" x14ac:dyDescent="0.3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4"/>
    </row>
    <row r="34" spans="1:24" ht="16.350000000000001" customHeight="1" thickBot="1" x14ac:dyDescent="0.3">
      <c r="A34" s="701" t="s">
        <v>61</v>
      </c>
      <c r="B34" s="685"/>
      <c r="C34" s="685"/>
      <c r="D34" s="685"/>
      <c r="E34" s="685"/>
      <c r="F34" s="685"/>
      <c r="G34" s="685"/>
      <c r="H34" s="685"/>
      <c r="I34" s="410" t="s">
        <v>18</v>
      </c>
      <c r="J34" s="782">
        <v>9.0277777777777787E-3</v>
      </c>
      <c r="K34" s="782"/>
      <c r="L34" s="782"/>
      <c r="M34" s="425" t="s">
        <v>17</v>
      </c>
      <c r="N34" s="410"/>
      <c r="O34" s="686"/>
      <c r="P34" s="686"/>
      <c r="Q34" s="686"/>
      <c r="R34" s="686"/>
      <c r="S34" s="686"/>
      <c r="T34" s="686"/>
      <c r="U34" s="686"/>
      <c r="V34" s="686"/>
      <c r="W34" s="781"/>
      <c r="X34" s="74"/>
    </row>
    <row r="35" spans="1:24" ht="16.350000000000001" customHeight="1" thickBot="1" x14ac:dyDescent="0.3">
      <c r="A35" s="780" t="s">
        <v>87</v>
      </c>
      <c r="B35" s="686"/>
      <c r="C35" s="686"/>
      <c r="D35" s="686"/>
      <c r="E35" s="686"/>
      <c r="F35" s="686"/>
      <c r="G35" s="686"/>
      <c r="H35" s="686"/>
      <c r="I35" s="686"/>
      <c r="J35" s="686"/>
      <c r="K35" s="781"/>
      <c r="L35" s="446"/>
      <c r="M35" s="780" t="s">
        <v>88</v>
      </c>
      <c r="N35" s="686"/>
      <c r="O35" s="686"/>
      <c r="P35" s="686"/>
      <c r="Q35" s="686"/>
      <c r="R35" s="686"/>
      <c r="S35" s="686"/>
      <c r="T35" s="686"/>
      <c r="U35" s="686"/>
      <c r="V35" s="686"/>
      <c r="W35" s="781"/>
      <c r="X35" s="74"/>
    </row>
    <row r="36" spans="1:24" ht="14.45" customHeight="1" x14ac:dyDescent="0.25">
      <c r="A36" s="125"/>
      <c r="B36" s="912" t="s">
        <v>48</v>
      </c>
      <c r="C36" s="935"/>
      <c r="D36" s="912" t="s">
        <v>15</v>
      </c>
      <c r="E36" s="914"/>
      <c r="F36" s="102"/>
      <c r="G36" s="124"/>
      <c r="H36" s="915" t="s">
        <v>44</v>
      </c>
      <c r="I36" s="936"/>
      <c r="J36" s="915" t="s">
        <v>15</v>
      </c>
      <c r="K36" s="917"/>
      <c r="L36" s="76"/>
      <c r="M36" s="97"/>
      <c r="N36" s="852" t="s">
        <v>45</v>
      </c>
      <c r="O36" s="937"/>
      <c r="P36" s="852" t="s">
        <v>15</v>
      </c>
      <c r="Q36" s="853"/>
      <c r="R36" s="2"/>
      <c r="S36" s="83"/>
      <c r="T36" s="850" t="s">
        <v>46</v>
      </c>
      <c r="U36" s="938"/>
      <c r="V36" s="850" t="s">
        <v>15</v>
      </c>
      <c r="W36" s="851"/>
    </row>
    <row r="37" spans="1:24" ht="14.45" customHeight="1" x14ac:dyDescent="0.25">
      <c r="A37" s="10">
        <v>1</v>
      </c>
      <c r="B37" s="905" t="str">
        <f>IF($D$15="","4eme A",B31)</f>
        <v>4eme A</v>
      </c>
      <c r="C37" s="933"/>
      <c r="D37" s="725">
        <f>A102+A106+A110+C91/1000000</f>
        <v>0</v>
      </c>
      <c r="E37" s="726"/>
      <c r="F37" s="103"/>
      <c r="G37" s="11">
        <v>1</v>
      </c>
      <c r="H37" s="907" t="str">
        <f>IF($D$15="","3eme A",B30)</f>
        <v>3eme A</v>
      </c>
      <c r="I37" s="934"/>
      <c r="J37" s="729">
        <f>G102+G106+G110+I91/1000000</f>
        <v>0</v>
      </c>
      <c r="K37" s="730"/>
      <c r="L37" s="76"/>
      <c r="M37" s="12">
        <v>1</v>
      </c>
      <c r="N37" s="844" t="str">
        <f>IF($D$15="","2eme A",B29)</f>
        <v>2eme A</v>
      </c>
      <c r="O37" s="845"/>
      <c r="P37" s="802">
        <f>M102+M106+M110+O91/1000000</f>
        <v>0</v>
      </c>
      <c r="Q37" s="803"/>
      <c r="R37" s="2"/>
      <c r="S37" s="13">
        <v>1</v>
      </c>
      <c r="T37" s="835" t="str">
        <f>IF($D$15="","1er A",B28)</f>
        <v>1er A</v>
      </c>
      <c r="U37" s="836"/>
      <c r="V37" s="798">
        <f>S102+S106+S110+U91/1000000</f>
        <v>0</v>
      </c>
      <c r="W37" s="799"/>
    </row>
    <row r="38" spans="1:24" ht="14.45" customHeight="1" x14ac:dyDescent="0.25">
      <c r="A38" s="10">
        <v>2</v>
      </c>
      <c r="B38" s="905" t="str">
        <f>IF($D$15="","4eme B",H31)</f>
        <v>4eme B</v>
      </c>
      <c r="C38" s="933"/>
      <c r="D38" s="725">
        <f>B102+A107+A111+C92/1000000</f>
        <v>0</v>
      </c>
      <c r="E38" s="726"/>
      <c r="F38" s="103"/>
      <c r="G38" s="11">
        <v>2</v>
      </c>
      <c r="H38" s="907" t="str">
        <f>IF($D$15="","3eme B",H30)</f>
        <v>3eme B</v>
      </c>
      <c r="I38" s="934"/>
      <c r="J38" s="729">
        <f>H102+G107+G111+I92/1000000</f>
        <v>0</v>
      </c>
      <c r="K38" s="730"/>
      <c r="L38" s="76"/>
      <c r="M38" s="12">
        <v>2</v>
      </c>
      <c r="N38" s="844" t="str">
        <f>IF($D$15="","2eme B",H29)</f>
        <v>2eme B</v>
      </c>
      <c r="O38" s="845"/>
      <c r="P38" s="802">
        <f>N102+M107+M111+O92/1000000</f>
        <v>0</v>
      </c>
      <c r="Q38" s="803"/>
      <c r="R38" s="2"/>
      <c r="S38" s="13">
        <v>2</v>
      </c>
      <c r="T38" s="835" t="str">
        <f>IF($D$15="","1er B",H28)</f>
        <v>1er B</v>
      </c>
      <c r="U38" s="836"/>
      <c r="V38" s="798">
        <f>T102+S107+S111+U92/1000000</f>
        <v>0</v>
      </c>
      <c r="W38" s="799"/>
    </row>
    <row r="39" spans="1:24" ht="14.45" customHeight="1" x14ac:dyDescent="0.25">
      <c r="A39" s="10">
        <v>3</v>
      </c>
      <c r="B39" s="905" t="str">
        <f>IF($D$15="","4eme C",N31)</f>
        <v>4eme C</v>
      </c>
      <c r="C39" s="933"/>
      <c r="D39" s="725">
        <f>A103+B106+B111+C93/1000000</f>
        <v>0</v>
      </c>
      <c r="E39" s="726"/>
      <c r="F39" s="103"/>
      <c r="G39" s="11">
        <v>3</v>
      </c>
      <c r="H39" s="907" t="str">
        <f>IF($D$15="","3eme C",N30)</f>
        <v>3eme C</v>
      </c>
      <c r="I39" s="934"/>
      <c r="J39" s="729">
        <f>G103+H106+H111+I93/1000000</f>
        <v>0</v>
      </c>
      <c r="K39" s="730"/>
      <c r="L39" s="76"/>
      <c r="M39" s="12">
        <v>3</v>
      </c>
      <c r="N39" s="844" t="str">
        <f>IF($D$15="","2eme C",N29)</f>
        <v>2eme C</v>
      </c>
      <c r="O39" s="845"/>
      <c r="P39" s="802">
        <f>M103+N106+N111+O93/1000000</f>
        <v>0</v>
      </c>
      <c r="Q39" s="803"/>
      <c r="R39" s="2"/>
      <c r="S39" s="13">
        <v>3</v>
      </c>
      <c r="T39" s="835" t="str">
        <f>IF($D$15="","1er C",N28)</f>
        <v>1er C</v>
      </c>
      <c r="U39" s="836"/>
      <c r="V39" s="798">
        <f>S103+T106+T111+U93/1000000</f>
        <v>0</v>
      </c>
      <c r="W39" s="799"/>
    </row>
    <row r="40" spans="1:24" ht="14.45" customHeight="1" thickBot="1" x14ac:dyDescent="0.3">
      <c r="A40" s="15">
        <v>4</v>
      </c>
      <c r="B40" s="901" t="str">
        <f>IF($D$15="","4eme D",T31)</f>
        <v>4eme D</v>
      </c>
      <c r="C40" s="939"/>
      <c r="D40" s="719">
        <f>B103+B107+B110+C94/1000000</f>
        <v>0</v>
      </c>
      <c r="E40" s="720"/>
      <c r="F40" s="103"/>
      <c r="G40" s="16">
        <v>4</v>
      </c>
      <c r="H40" s="903" t="str">
        <f>IF($D$15="","3eme D",T30)</f>
        <v>3eme D</v>
      </c>
      <c r="I40" s="940"/>
      <c r="J40" s="723">
        <f>H103+H107+H110+I94/1000000</f>
        <v>0</v>
      </c>
      <c r="K40" s="724"/>
      <c r="L40" s="76"/>
      <c r="M40" s="17">
        <v>4</v>
      </c>
      <c r="N40" s="846" t="str">
        <f>IF($D$15="","2eme D",T29)</f>
        <v>2eme D</v>
      </c>
      <c r="O40" s="847"/>
      <c r="P40" s="794">
        <f>N103+N107+N110+O94/1000000</f>
        <v>0</v>
      </c>
      <c r="Q40" s="795"/>
      <c r="R40" s="2"/>
      <c r="S40" s="18">
        <v>4</v>
      </c>
      <c r="T40" s="837" t="str">
        <f>IF($D$15="","1er D",T28)</f>
        <v>1er D</v>
      </c>
      <c r="U40" s="838"/>
      <c r="V40" s="790">
        <f>T103+T107+T110+U94/1000000</f>
        <v>0</v>
      </c>
      <c r="W40" s="791"/>
    </row>
    <row r="41" spans="1:24" s="29" customFormat="1" ht="5.0999999999999996" customHeight="1" thickBot="1" x14ac:dyDescent="0.3">
      <c r="A41" s="19"/>
      <c r="B41" s="2"/>
      <c r="C41" s="2"/>
      <c r="D41" s="2"/>
      <c r="E41" s="2"/>
      <c r="F41" s="2"/>
      <c r="G41" s="2"/>
      <c r="H41" s="2"/>
      <c r="I41" s="2"/>
      <c r="J41" s="2"/>
      <c r="K41" s="2"/>
      <c r="L41" s="85"/>
      <c r="M41" s="2"/>
      <c r="N41" s="2"/>
      <c r="O41" s="2"/>
      <c r="P41" s="2"/>
      <c r="Q41" s="2"/>
      <c r="R41" s="2"/>
      <c r="S41" s="2"/>
      <c r="T41" s="2"/>
      <c r="U41" s="2"/>
      <c r="V41" s="2"/>
      <c r="W41" s="21"/>
    </row>
    <row r="42" spans="1:24" ht="14.45" customHeight="1" x14ac:dyDescent="0.25">
      <c r="A42" s="24"/>
      <c r="B42" s="713" t="s">
        <v>10</v>
      </c>
      <c r="C42" s="713"/>
      <c r="D42" s="713" t="s">
        <v>16</v>
      </c>
      <c r="E42" s="714"/>
      <c r="F42" s="25"/>
      <c r="G42" s="26"/>
      <c r="H42" s="715" t="s">
        <v>10</v>
      </c>
      <c r="I42" s="715"/>
      <c r="J42" s="715" t="s">
        <v>16</v>
      </c>
      <c r="K42" s="716"/>
      <c r="L42" s="77"/>
      <c r="M42" s="27"/>
      <c r="N42" s="786" t="s">
        <v>10</v>
      </c>
      <c r="O42" s="786"/>
      <c r="P42" s="786" t="s">
        <v>16</v>
      </c>
      <c r="Q42" s="787"/>
      <c r="R42" s="25"/>
      <c r="S42" s="28"/>
      <c r="T42" s="784" t="s">
        <v>10</v>
      </c>
      <c r="U42" s="784"/>
      <c r="V42" s="784" t="s">
        <v>16</v>
      </c>
      <c r="W42" s="785"/>
    </row>
    <row r="43" spans="1:24" ht="14.45" customHeight="1" x14ac:dyDescent="0.25">
      <c r="A43" s="30">
        <f>S24+J6+R5+L5</f>
        <v>0.54166666666666663</v>
      </c>
      <c r="B43" s="31" t="str">
        <f>B37</f>
        <v>4eme A</v>
      </c>
      <c r="C43" s="31" t="str">
        <f>B38</f>
        <v>4eme B</v>
      </c>
      <c r="D43" s="53"/>
      <c r="E43" s="54"/>
      <c r="F43" s="2"/>
      <c r="G43" s="32">
        <f>A44+$J$34+R5</f>
        <v>0.56944444444444431</v>
      </c>
      <c r="H43" s="33" t="str">
        <f>H37</f>
        <v>3eme A</v>
      </c>
      <c r="I43" s="33" t="str">
        <f>H38</f>
        <v>3eme B</v>
      </c>
      <c r="J43" s="57"/>
      <c r="K43" s="58"/>
      <c r="L43" s="76"/>
      <c r="M43" s="34">
        <f>S24+$J$34+R5</f>
        <v>0.54166666666666663</v>
      </c>
      <c r="N43" s="35" t="str">
        <f>N37</f>
        <v>2eme A</v>
      </c>
      <c r="O43" s="35" t="str">
        <f>N38</f>
        <v>2eme B</v>
      </c>
      <c r="P43" s="61"/>
      <c r="Q43" s="62"/>
      <c r="R43" s="2"/>
      <c r="S43" s="36">
        <f>M44+$J$34+R5</f>
        <v>0.56944444444444431</v>
      </c>
      <c r="T43" s="37" t="str">
        <f>T37</f>
        <v>1er A</v>
      </c>
      <c r="U43" s="37" t="str">
        <f>T38</f>
        <v>1er B</v>
      </c>
      <c r="V43" s="65"/>
      <c r="W43" s="66"/>
    </row>
    <row r="44" spans="1:24" ht="14.45" customHeight="1" thickBot="1" x14ac:dyDescent="0.3">
      <c r="A44" s="38">
        <f>A43+$J$34+R5</f>
        <v>0.55555555555555547</v>
      </c>
      <c r="B44" s="39" t="str">
        <f>B39</f>
        <v>4eme C</v>
      </c>
      <c r="C44" s="39" t="str">
        <f>B40</f>
        <v>4eme D</v>
      </c>
      <c r="D44" s="55"/>
      <c r="E44" s="56"/>
      <c r="F44" s="2"/>
      <c r="G44" s="40">
        <f>G43+$J$34+R5</f>
        <v>0.58333333333333315</v>
      </c>
      <c r="H44" s="41" t="str">
        <f>H39</f>
        <v>3eme C</v>
      </c>
      <c r="I44" s="41" t="str">
        <f>H40</f>
        <v>3eme D</v>
      </c>
      <c r="J44" s="59"/>
      <c r="K44" s="60"/>
      <c r="L44" s="76"/>
      <c r="M44" s="42">
        <f>M43+$J$34+R5</f>
        <v>0.55555555555555547</v>
      </c>
      <c r="N44" s="43" t="str">
        <f>N39</f>
        <v>2eme C</v>
      </c>
      <c r="O44" s="43" t="str">
        <f>N40</f>
        <v>2eme D</v>
      </c>
      <c r="P44" s="63"/>
      <c r="Q44" s="64"/>
      <c r="R44" s="2"/>
      <c r="S44" s="44">
        <f>S43+$J$34+R5</f>
        <v>0.58333333333333315</v>
      </c>
      <c r="T44" s="45" t="str">
        <f>T39</f>
        <v>1er C</v>
      </c>
      <c r="U44" s="45" t="str">
        <f>T40</f>
        <v>1er D</v>
      </c>
      <c r="V44" s="67"/>
      <c r="W44" s="68"/>
    </row>
    <row r="45" spans="1:24" ht="5.0999999999999996" customHeight="1" thickBot="1" x14ac:dyDescent="0.3">
      <c r="A45" s="19"/>
      <c r="B45" s="2"/>
      <c r="C45" s="2"/>
      <c r="D45" s="411"/>
      <c r="E45" s="411"/>
      <c r="F45" s="2"/>
      <c r="G45" s="2"/>
      <c r="H45" s="2"/>
      <c r="I45" s="47"/>
      <c r="J45" s="411"/>
      <c r="K45" s="411"/>
      <c r="L45" s="85"/>
      <c r="M45" s="2"/>
      <c r="N45" s="2"/>
      <c r="O45" s="2"/>
      <c r="P45" s="411"/>
      <c r="Q45" s="411"/>
      <c r="R45" s="2"/>
      <c r="S45" s="2"/>
      <c r="T45" s="2"/>
      <c r="U45" s="2"/>
      <c r="V45" s="411"/>
      <c r="W45" s="412"/>
    </row>
    <row r="46" spans="1:24" ht="14.45" customHeight="1" x14ac:dyDescent="0.25">
      <c r="A46" s="24"/>
      <c r="B46" s="713" t="s">
        <v>11</v>
      </c>
      <c r="C46" s="713"/>
      <c r="D46" s="713" t="s">
        <v>16</v>
      </c>
      <c r="E46" s="714"/>
      <c r="F46" s="25"/>
      <c r="G46" s="26"/>
      <c r="H46" s="715" t="s">
        <v>11</v>
      </c>
      <c r="I46" s="715"/>
      <c r="J46" s="715" t="s">
        <v>16</v>
      </c>
      <c r="K46" s="716"/>
      <c r="L46" s="77"/>
      <c r="M46" s="27"/>
      <c r="N46" s="786" t="s">
        <v>11</v>
      </c>
      <c r="O46" s="786"/>
      <c r="P46" s="786" t="s">
        <v>16</v>
      </c>
      <c r="Q46" s="787"/>
      <c r="R46" s="25"/>
      <c r="S46" s="28"/>
      <c r="T46" s="784" t="s">
        <v>11</v>
      </c>
      <c r="U46" s="784"/>
      <c r="V46" s="784" t="s">
        <v>16</v>
      </c>
      <c r="W46" s="785"/>
    </row>
    <row r="47" spans="1:24" ht="14.45" customHeight="1" x14ac:dyDescent="0.25">
      <c r="A47" s="30">
        <f>G44+$J$34+R5</f>
        <v>0.59722222222222199</v>
      </c>
      <c r="B47" s="31" t="str">
        <f>B37</f>
        <v>4eme A</v>
      </c>
      <c r="C47" s="31" t="str">
        <f>B39</f>
        <v>4eme C</v>
      </c>
      <c r="D47" s="53"/>
      <c r="E47" s="54"/>
      <c r="F47" s="2"/>
      <c r="G47" s="32">
        <f>A48+$J$34+R5</f>
        <v>0.62499999999999967</v>
      </c>
      <c r="H47" s="33" t="str">
        <f>H37</f>
        <v>3eme A</v>
      </c>
      <c r="I47" s="33" t="str">
        <f>H39</f>
        <v>3eme C</v>
      </c>
      <c r="J47" s="57"/>
      <c r="K47" s="58"/>
      <c r="L47" s="76"/>
      <c r="M47" s="34">
        <f>S44+$J$34+R5</f>
        <v>0.59722222222222199</v>
      </c>
      <c r="N47" s="35" t="str">
        <f>N37</f>
        <v>2eme A</v>
      </c>
      <c r="O47" s="35" t="str">
        <f>N39</f>
        <v>2eme C</v>
      </c>
      <c r="P47" s="61"/>
      <c r="Q47" s="62"/>
      <c r="R47" s="2"/>
      <c r="S47" s="36">
        <f>M48+$J$34+R5</f>
        <v>0.62499999999999967</v>
      </c>
      <c r="T47" s="37" t="str">
        <f>T37</f>
        <v>1er A</v>
      </c>
      <c r="U47" s="37" t="str">
        <f>T39</f>
        <v>1er C</v>
      </c>
      <c r="V47" s="65"/>
      <c r="W47" s="66"/>
    </row>
    <row r="48" spans="1:24" ht="14.45" customHeight="1" thickBot="1" x14ac:dyDescent="0.3">
      <c r="A48" s="38">
        <f>A47+$J$34+R5</f>
        <v>0.61111111111111083</v>
      </c>
      <c r="B48" s="39" t="str">
        <f>B38</f>
        <v>4eme B</v>
      </c>
      <c r="C48" s="39" t="str">
        <f>B40</f>
        <v>4eme D</v>
      </c>
      <c r="D48" s="55"/>
      <c r="E48" s="56"/>
      <c r="F48" s="2"/>
      <c r="G48" s="40">
        <f>G47+$J$34+R5</f>
        <v>0.63888888888888851</v>
      </c>
      <c r="H48" s="41" t="str">
        <f>H38</f>
        <v>3eme B</v>
      </c>
      <c r="I48" s="41" t="str">
        <f>H40</f>
        <v>3eme D</v>
      </c>
      <c r="J48" s="59"/>
      <c r="K48" s="60"/>
      <c r="L48" s="76"/>
      <c r="M48" s="42">
        <f>M47+$J$34+R5</f>
        <v>0.61111111111111083</v>
      </c>
      <c r="N48" s="43" t="str">
        <f>N38</f>
        <v>2eme B</v>
      </c>
      <c r="O48" s="43" t="str">
        <f>N40</f>
        <v>2eme D</v>
      </c>
      <c r="P48" s="63"/>
      <c r="Q48" s="64"/>
      <c r="R48" s="2"/>
      <c r="S48" s="44">
        <f>S47+$J$34+R5</f>
        <v>0.63888888888888851</v>
      </c>
      <c r="T48" s="45" t="str">
        <f>T38</f>
        <v>1er B</v>
      </c>
      <c r="U48" s="45" t="str">
        <f>T40</f>
        <v>1er D</v>
      </c>
      <c r="V48" s="67"/>
      <c r="W48" s="68"/>
    </row>
    <row r="49" spans="1:23" ht="5.0999999999999996" customHeight="1" thickBot="1" x14ac:dyDescent="0.3">
      <c r="A49" s="19"/>
      <c r="B49" s="2"/>
      <c r="C49" s="2"/>
      <c r="D49" s="411"/>
      <c r="E49" s="411"/>
      <c r="F49" s="2"/>
      <c r="G49" s="2"/>
      <c r="H49" s="2"/>
      <c r="I49" s="47"/>
      <c r="J49" s="411"/>
      <c r="K49" s="411"/>
      <c r="L49" s="85"/>
      <c r="M49" s="2"/>
      <c r="N49" s="2"/>
      <c r="O49" s="2"/>
      <c r="P49" s="411"/>
      <c r="Q49" s="411"/>
      <c r="R49" s="2"/>
      <c r="S49" s="2"/>
      <c r="T49" s="2"/>
      <c r="U49" s="2"/>
      <c r="V49" s="411"/>
      <c r="W49" s="412"/>
    </row>
    <row r="50" spans="1:23" ht="14.45" customHeight="1" x14ac:dyDescent="0.25">
      <c r="A50" s="24"/>
      <c r="B50" s="713" t="s">
        <v>12</v>
      </c>
      <c r="C50" s="713"/>
      <c r="D50" s="713" t="s">
        <v>16</v>
      </c>
      <c r="E50" s="714"/>
      <c r="F50" s="25"/>
      <c r="G50" s="26"/>
      <c r="H50" s="715" t="s">
        <v>12</v>
      </c>
      <c r="I50" s="715"/>
      <c r="J50" s="715" t="s">
        <v>16</v>
      </c>
      <c r="K50" s="716"/>
      <c r="L50" s="77"/>
      <c r="M50" s="27"/>
      <c r="N50" s="786" t="s">
        <v>12</v>
      </c>
      <c r="O50" s="786"/>
      <c r="P50" s="786" t="s">
        <v>16</v>
      </c>
      <c r="Q50" s="787"/>
      <c r="R50" s="25"/>
      <c r="S50" s="28"/>
      <c r="T50" s="784" t="s">
        <v>12</v>
      </c>
      <c r="U50" s="784"/>
      <c r="V50" s="784" t="s">
        <v>16</v>
      </c>
      <c r="W50" s="785"/>
    </row>
    <row r="51" spans="1:23" ht="14.45" customHeight="1" x14ac:dyDescent="0.25">
      <c r="A51" s="30">
        <f>G48+$J$34+R5</f>
        <v>0.65277777777777735</v>
      </c>
      <c r="B51" s="31" t="str">
        <f>B37</f>
        <v>4eme A</v>
      </c>
      <c r="C51" s="31" t="str">
        <f>B40</f>
        <v>4eme D</v>
      </c>
      <c r="D51" s="53"/>
      <c r="E51" s="54"/>
      <c r="F51" s="2"/>
      <c r="G51" s="32">
        <f>A52+$J$34+R5</f>
        <v>0.68055555555555503</v>
      </c>
      <c r="H51" s="33" t="str">
        <f>H37</f>
        <v>3eme A</v>
      </c>
      <c r="I51" s="33" t="str">
        <f>H40</f>
        <v>3eme D</v>
      </c>
      <c r="J51" s="57"/>
      <c r="K51" s="58"/>
      <c r="L51" s="76"/>
      <c r="M51" s="34">
        <f>S48+$J$34+R5</f>
        <v>0.65277777777777735</v>
      </c>
      <c r="N51" s="35" t="str">
        <f>N37</f>
        <v>2eme A</v>
      </c>
      <c r="O51" s="35" t="str">
        <f>N40</f>
        <v>2eme D</v>
      </c>
      <c r="P51" s="61"/>
      <c r="Q51" s="62"/>
      <c r="R51" s="2"/>
      <c r="S51" s="36">
        <f>M52+$J$34+R5</f>
        <v>0.68055555555555503</v>
      </c>
      <c r="T51" s="37" t="str">
        <f>T37</f>
        <v>1er A</v>
      </c>
      <c r="U51" s="37" t="str">
        <f>T40</f>
        <v>1er D</v>
      </c>
      <c r="V51" s="65"/>
      <c r="W51" s="66"/>
    </row>
    <row r="52" spans="1:23" ht="14.45" customHeight="1" thickBot="1" x14ac:dyDescent="0.3">
      <c r="A52" s="38">
        <f>A51+$J$34+R5</f>
        <v>0.66666666666666619</v>
      </c>
      <c r="B52" s="39" t="str">
        <f>B38</f>
        <v>4eme B</v>
      </c>
      <c r="C52" s="39" t="str">
        <f>B39</f>
        <v>4eme C</v>
      </c>
      <c r="D52" s="55"/>
      <c r="E52" s="56"/>
      <c r="F52" s="47"/>
      <c r="G52" s="40">
        <f>G51+$J$34+R5</f>
        <v>0.69444444444444386</v>
      </c>
      <c r="H52" s="41" t="str">
        <f>H38</f>
        <v>3eme B</v>
      </c>
      <c r="I52" s="41" t="str">
        <f>H39</f>
        <v>3eme C</v>
      </c>
      <c r="J52" s="59"/>
      <c r="K52" s="60"/>
      <c r="L52" s="78"/>
      <c r="M52" s="42">
        <f>M51+$J$34+R5</f>
        <v>0.66666666666666619</v>
      </c>
      <c r="N52" s="43" t="str">
        <f>N38</f>
        <v>2eme B</v>
      </c>
      <c r="O52" s="43" t="str">
        <f>N39</f>
        <v>2eme C</v>
      </c>
      <c r="P52" s="63"/>
      <c r="Q52" s="64"/>
      <c r="R52" s="47"/>
      <c r="S52" s="44">
        <f>S51+$J$34+R5</f>
        <v>0.69444444444444386</v>
      </c>
      <c r="T52" s="45" t="str">
        <f>T38</f>
        <v>1er B</v>
      </c>
      <c r="U52" s="45" t="str">
        <f>T39</f>
        <v>1er C</v>
      </c>
      <c r="V52" s="67"/>
      <c r="W52" s="68"/>
    </row>
    <row r="53" spans="1:23" ht="5.0999999999999996" customHeight="1" thickBot="1" x14ac:dyDescent="0.3">
      <c r="A53" s="118"/>
      <c r="B53" s="119"/>
      <c r="C53" s="119"/>
      <c r="D53" s="173"/>
      <c r="E53" s="173"/>
      <c r="F53" s="89"/>
      <c r="G53" s="120"/>
      <c r="H53" s="119"/>
      <c r="I53" s="119"/>
      <c r="J53" s="173"/>
      <c r="K53" s="173"/>
      <c r="L53" s="89"/>
      <c r="M53" s="120"/>
      <c r="N53" s="119"/>
      <c r="O53" s="119"/>
      <c r="P53" s="173"/>
      <c r="Q53" s="173"/>
      <c r="R53" s="89"/>
      <c r="S53" s="93"/>
      <c r="T53" s="428"/>
      <c r="U53" s="428"/>
      <c r="V53" s="116"/>
      <c r="W53" s="117"/>
    </row>
    <row r="54" spans="1:23" ht="14.45" customHeight="1" thickBot="1" x14ac:dyDescent="0.3">
      <c r="A54" s="783" t="s">
        <v>47</v>
      </c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2"/>
      <c r="R54" s="762"/>
      <c r="S54" s="762"/>
      <c r="T54" s="762"/>
      <c r="U54" s="762"/>
      <c r="V54" s="762"/>
      <c r="W54" s="763"/>
    </row>
    <row r="55" spans="1:23" ht="14.45" customHeight="1" x14ac:dyDescent="0.25">
      <c r="A55" s="81" t="s">
        <v>21</v>
      </c>
      <c r="B55" s="711" t="s">
        <v>41</v>
      </c>
      <c r="C55" s="711"/>
      <c r="D55" s="711" t="s">
        <v>15</v>
      </c>
      <c r="E55" s="712"/>
      <c r="F55" s="122"/>
      <c r="G55" s="81" t="s">
        <v>21</v>
      </c>
      <c r="H55" s="711" t="s">
        <v>42</v>
      </c>
      <c r="I55" s="711"/>
      <c r="J55" s="711" t="s">
        <v>15</v>
      </c>
      <c r="K55" s="712"/>
      <c r="L55" s="75"/>
      <c r="M55" s="81" t="s">
        <v>21</v>
      </c>
      <c r="N55" s="711" t="s">
        <v>43</v>
      </c>
      <c r="O55" s="711"/>
      <c r="P55" s="711" t="s">
        <v>15</v>
      </c>
      <c r="Q55" s="712"/>
      <c r="R55" s="122"/>
      <c r="S55" s="81" t="s">
        <v>21</v>
      </c>
      <c r="T55" s="711" t="s">
        <v>55</v>
      </c>
      <c r="U55" s="711"/>
      <c r="V55" s="711" t="s">
        <v>15</v>
      </c>
      <c r="W55" s="712"/>
    </row>
    <row r="56" spans="1:23" ht="14.45" customHeight="1" x14ac:dyDescent="0.25">
      <c r="A56" s="49">
        <v>1</v>
      </c>
      <c r="B56" s="680" t="str">
        <f>VLOOKUP($A56,$A$71:$D$74,2,FALSE)</f>
        <v>4eme A</v>
      </c>
      <c r="C56" s="680"/>
      <c r="D56" s="683">
        <f>VLOOKUP($A56,$A$71:$D$74,4,FALSE)</f>
        <v>3.9999999999999998E-7</v>
      </c>
      <c r="E56" s="683"/>
      <c r="F56" s="105"/>
      <c r="G56" s="49">
        <v>1</v>
      </c>
      <c r="H56" s="680" t="str">
        <f>VLOOKUP($G56,$G$71:$J$74,2,FALSE)</f>
        <v>3eme A</v>
      </c>
      <c r="I56" s="680"/>
      <c r="J56" s="681">
        <f>VLOOKUP($G56,$G$71:$J$74,4,FALSE)</f>
        <v>3.9999999999999998E-7</v>
      </c>
      <c r="K56" s="681"/>
      <c r="L56" s="76"/>
      <c r="M56" s="49">
        <v>1</v>
      </c>
      <c r="N56" s="680" t="str">
        <f>VLOOKUP($M56,$M$71:$P$74,2,FALSE)</f>
        <v>2eme A</v>
      </c>
      <c r="O56" s="680"/>
      <c r="P56" s="681">
        <f>VLOOKUP($M56,$M$71:$P$74,4,FALSE)</f>
        <v>3.9999999999999998E-7</v>
      </c>
      <c r="Q56" s="681"/>
      <c r="R56" s="105"/>
      <c r="S56" s="49">
        <v>1</v>
      </c>
      <c r="T56" s="680" t="str">
        <f>VLOOKUP($S56,$S$71:$V$74,2,FALSE)</f>
        <v>1er A</v>
      </c>
      <c r="U56" s="680"/>
      <c r="V56" s="681">
        <f>VLOOKUP($S56,$S$71:$V$74,4,FALSE)</f>
        <v>3.9999999999999998E-7</v>
      </c>
      <c r="W56" s="681"/>
    </row>
    <row r="57" spans="1:23" ht="14.45" customHeight="1" x14ac:dyDescent="0.25">
      <c r="A57" s="49">
        <v>2</v>
      </c>
      <c r="B57" s="680" t="str">
        <f t="shared" ref="B57:B59" si="0">VLOOKUP($A57,$A$71:$D$74,2,FALSE)</f>
        <v>4eme B</v>
      </c>
      <c r="C57" s="680"/>
      <c r="D57" s="683">
        <f t="shared" ref="D57:D59" si="1">VLOOKUP($A57,$A$71:$D$74,4,FALSE)</f>
        <v>2.9999999999999999E-7</v>
      </c>
      <c r="E57" s="683"/>
      <c r="F57" s="105"/>
      <c r="G57" s="49">
        <v>2</v>
      </c>
      <c r="H57" s="680" t="str">
        <f t="shared" ref="H57:H59" si="2">VLOOKUP($G57,$G$71:$J$74,2,FALSE)</f>
        <v>3eme B</v>
      </c>
      <c r="I57" s="680"/>
      <c r="J57" s="681">
        <f t="shared" ref="J57:J59" si="3">VLOOKUP($G57,$G$71:$J$74,4,FALSE)</f>
        <v>2.9999999999999999E-7</v>
      </c>
      <c r="K57" s="681"/>
      <c r="L57" s="76"/>
      <c r="M57" s="49">
        <v>2</v>
      </c>
      <c r="N57" s="680" t="str">
        <f t="shared" ref="N57:N59" si="4">VLOOKUP($M57,$M$71:$P$74,2,FALSE)</f>
        <v>2eme B</v>
      </c>
      <c r="O57" s="680"/>
      <c r="P57" s="681">
        <f t="shared" ref="P57:P59" si="5">VLOOKUP($M57,$M$71:$P$74,4,FALSE)</f>
        <v>2.9999999999999999E-7</v>
      </c>
      <c r="Q57" s="681"/>
      <c r="R57" s="105"/>
      <c r="S57" s="49">
        <v>2</v>
      </c>
      <c r="T57" s="680" t="str">
        <f t="shared" ref="T57:T59" si="6">VLOOKUP($S57,$S$71:$V$74,2,FALSE)</f>
        <v>1er B</v>
      </c>
      <c r="U57" s="680"/>
      <c r="V57" s="681">
        <f t="shared" ref="V57:V59" si="7">VLOOKUP($S57,$S$71:$V$74,4,FALSE)</f>
        <v>2.9999999999999999E-7</v>
      </c>
      <c r="W57" s="681"/>
    </row>
    <row r="58" spans="1:23" ht="14.45" customHeight="1" x14ac:dyDescent="0.25">
      <c r="A58" s="49">
        <v>3</v>
      </c>
      <c r="B58" s="680" t="str">
        <f t="shared" si="0"/>
        <v>4eme C</v>
      </c>
      <c r="C58" s="680"/>
      <c r="D58" s="683">
        <f t="shared" si="1"/>
        <v>1.9999999999999999E-7</v>
      </c>
      <c r="E58" s="683"/>
      <c r="F58" s="105"/>
      <c r="G58" s="49">
        <v>3</v>
      </c>
      <c r="H58" s="680" t="str">
        <f t="shared" si="2"/>
        <v>3eme C</v>
      </c>
      <c r="I58" s="680"/>
      <c r="J58" s="681">
        <f t="shared" si="3"/>
        <v>1.9999999999999999E-7</v>
      </c>
      <c r="K58" s="681"/>
      <c r="L58" s="76"/>
      <c r="M58" s="49">
        <v>3</v>
      </c>
      <c r="N58" s="680" t="str">
        <f t="shared" si="4"/>
        <v>2eme C</v>
      </c>
      <c r="O58" s="680"/>
      <c r="P58" s="681">
        <f t="shared" si="5"/>
        <v>1.9999999999999999E-7</v>
      </c>
      <c r="Q58" s="681"/>
      <c r="R58" s="105"/>
      <c r="S58" s="49">
        <v>3</v>
      </c>
      <c r="T58" s="680" t="str">
        <f t="shared" si="6"/>
        <v>1er C</v>
      </c>
      <c r="U58" s="680"/>
      <c r="V58" s="681">
        <f t="shared" si="7"/>
        <v>1.9999999999999999E-7</v>
      </c>
      <c r="W58" s="681"/>
    </row>
    <row r="59" spans="1:23" ht="14.45" customHeight="1" thickBot="1" x14ac:dyDescent="0.3">
      <c r="A59" s="50">
        <v>4</v>
      </c>
      <c r="B59" s="680" t="str">
        <f t="shared" si="0"/>
        <v>4eme D</v>
      </c>
      <c r="C59" s="680"/>
      <c r="D59" s="683">
        <f t="shared" si="1"/>
        <v>9.9999999999999995E-8</v>
      </c>
      <c r="E59" s="683"/>
      <c r="F59" s="123"/>
      <c r="G59" s="50">
        <v>4</v>
      </c>
      <c r="H59" s="680" t="str">
        <f t="shared" si="2"/>
        <v>3eme D</v>
      </c>
      <c r="I59" s="680"/>
      <c r="J59" s="681">
        <f t="shared" si="3"/>
        <v>9.9999999999999995E-8</v>
      </c>
      <c r="K59" s="681"/>
      <c r="L59" s="78"/>
      <c r="M59" s="50">
        <v>4</v>
      </c>
      <c r="N59" s="680" t="str">
        <f t="shared" si="4"/>
        <v>2eme D</v>
      </c>
      <c r="O59" s="680"/>
      <c r="P59" s="681">
        <f t="shared" si="5"/>
        <v>9.9999999999999995E-8</v>
      </c>
      <c r="Q59" s="681"/>
      <c r="R59" s="123"/>
      <c r="S59" s="50">
        <v>4</v>
      </c>
      <c r="T59" s="680" t="str">
        <f t="shared" si="6"/>
        <v>1er D</v>
      </c>
      <c r="U59" s="680"/>
      <c r="V59" s="681">
        <f t="shared" si="7"/>
        <v>9.9999999999999995E-8</v>
      </c>
      <c r="W59" s="681"/>
    </row>
    <row r="60" spans="1:23" ht="15" customHeight="1" thickBot="1" x14ac:dyDescent="0.3">
      <c r="A60" s="768"/>
      <c r="B60" s="675"/>
      <c r="C60" s="675"/>
      <c r="D60" s="675"/>
      <c r="E60" s="675"/>
      <c r="F60" s="675"/>
      <c r="G60" s="675"/>
      <c r="H60" s="675"/>
      <c r="I60" s="675"/>
      <c r="J60" s="675"/>
      <c r="K60" s="675"/>
      <c r="L60" s="675"/>
      <c r="M60" s="675"/>
      <c r="N60" s="675"/>
      <c r="O60" s="675"/>
      <c r="P60" s="675"/>
      <c r="Q60" s="675"/>
      <c r="R60" s="675"/>
      <c r="S60" s="675"/>
      <c r="T60" s="675"/>
      <c r="U60" s="675"/>
      <c r="V60" s="675"/>
      <c r="W60" s="676"/>
    </row>
    <row r="61" spans="1:23" s="2" customFormat="1" x14ac:dyDescent="0.25">
      <c r="A61" s="771" t="s">
        <v>237</v>
      </c>
      <c r="B61" s="771"/>
      <c r="C61" s="771"/>
      <c r="D61" s="771"/>
      <c r="E61" s="771"/>
      <c r="F61" s="771"/>
      <c r="G61" s="771"/>
      <c r="H61" s="771"/>
      <c r="I61" s="771"/>
      <c r="J61" s="771"/>
      <c r="K61" s="771"/>
      <c r="L61" s="771"/>
      <c r="M61" s="771"/>
      <c r="N61" s="771"/>
      <c r="O61" s="771"/>
      <c r="P61" s="771"/>
      <c r="Q61" s="771"/>
      <c r="R61" s="771"/>
      <c r="S61" s="771"/>
      <c r="T61" s="771"/>
      <c r="U61" s="771"/>
      <c r="V61" s="771"/>
      <c r="W61" s="771"/>
    </row>
    <row r="62" spans="1:23" s="2" customFormat="1" hidden="1" x14ac:dyDescent="0.25"/>
    <row r="63" spans="1:23" ht="16.5" hidden="1" thickBot="1" x14ac:dyDescent="0.3">
      <c r="A63" s="670" t="s">
        <v>49</v>
      </c>
      <c r="B63" s="671"/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  <c r="S63" s="671"/>
      <c r="T63" s="671"/>
      <c r="U63" s="671"/>
      <c r="V63" s="671"/>
      <c r="W63" s="672"/>
    </row>
    <row r="64" spans="1:23" ht="14.45" hidden="1" customHeight="1" x14ac:dyDescent="0.25">
      <c r="A64" s="96"/>
      <c r="B64" s="711" t="s">
        <v>1</v>
      </c>
      <c r="C64" s="711"/>
      <c r="D64" s="711" t="s">
        <v>15</v>
      </c>
      <c r="E64" s="772"/>
      <c r="F64" s="773"/>
      <c r="G64" s="121"/>
      <c r="H64" s="711" t="s">
        <v>2</v>
      </c>
      <c r="I64" s="711"/>
      <c r="J64" s="711" t="s">
        <v>15</v>
      </c>
      <c r="K64" s="772"/>
      <c r="L64" s="75"/>
      <c r="M64" s="121"/>
      <c r="N64" s="711" t="s">
        <v>3</v>
      </c>
      <c r="O64" s="711"/>
      <c r="P64" s="711" t="s">
        <v>15</v>
      </c>
      <c r="Q64" s="772"/>
      <c r="R64" s="122"/>
      <c r="S64" s="96"/>
      <c r="T64" s="711" t="s">
        <v>4</v>
      </c>
      <c r="U64" s="711"/>
      <c r="V64" s="711" t="s">
        <v>15</v>
      </c>
      <c r="W64" s="712"/>
    </row>
    <row r="65" spans="1:23" ht="14.45" hidden="1" customHeight="1" x14ac:dyDescent="0.25">
      <c r="A65" s="86">
        <f>RANK(D65,$D$65:$D$68)</f>
        <v>1</v>
      </c>
      <c r="B65" s="69" t="str">
        <f>B9</f>
        <v>Equipe 1</v>
      </c>
      <c r="C65" s="69">
        <f>D15-E15+D19-E19+D23-E23</f>
        <v>0</v>
      </c>
      <c r="D65" s="681">
        <f>D9+4/10000000</f>
        <v>3.9999999999999998E-7</v>
      </c>
      <c r="E65" s="767"/>
      <c r="F65" s="774"/>
      <c r="G65" s="91">
        <f>RANK(J65,$J$65:$J$68)</f>
        <v>1</v>
      </c>
      <c r="H65" s="69" t="str">
        <f>H9</f>
        <v>Equipe 5</v>
      </c>
      <c r="I65" s="69">
        <f>J15-K15+J19-K19+J23-K23</f>
        <v>0</v>
      </c>
      <c r="J65" s="681">
        <f>J9+4/10000000</f>
        <v>3.9999999999999998E-7</v>
      </c>
      <c r="K65" s="767"/>
      <c r="L65" s="76"/>
      <c r="M65" s="91">
        <f>RANK(P65,$P$65:$P$68)</f>
        <v>1</v>
      </c>
      <c r="N65" s="69" t="str">
        <f>N9</f>
        <v>Equipe 9</v>
      </c>
      <c r="O65" s="69">
        <f>P15-Q15+P19-Q19+P23-Q23</f>
        <v>0</v>
      </c>
      <c r="P65" s="681">
        <f>P9+4/10000000</f>
        <v>3.9999999999999998E-7</v>
      </c>
      <c r="Q65" s="767"/>
      <c r="R65" s="105"/>
      <c r="S65" s="86">
        <f>RANK(V65,$V$65:$V$68)</f>
        <v>1</v>
      </c>
      <c r="T65" s="69" t="str">
        <f>T9</f>
        <v>Equipe 13</v>
      </c>
      <c r="U65" s="69">
        <f>V15-W15+V19-W19+V23-W23</f>
        <v>0</v>
      </c>
      <c r="V65" s="681">
        <f>V9+4/10000000</f>
        <v>3.9999999999999998E-7</v>
      </c>
      <c r="W65" s="682"/>
    </row>
    <row r="66" spans="1:23" ht="14.45" hidden="1" customHeight="1" x14ac:dyDescent="0.25">
      <c r="A66" s="86">
        <f t="shared" ref="A66:A68" si="8">RANK(D66,$D$65:$D$68)</f>
        <v>2</v>
      </c>
      <c r="B66" s="69" t="str">
        <f>B10</f>
        <v>Equipe 2</v>
      </c>
      <c r="C66" s="69">
        <f>E15-D15+D20-E20+D24-E24</f>
        <v>0</v>
      </c>
      <c r="D66" s="681">
        <f>D10+3/10000000</f>
        <v>2.9999999999999999E-7</v>
      </c>
      <c r="E66" s="767"/>
      <c r="F66" s="774"/>
      <c r="G66" s="91">
        <f t="shared" ref="G66:G68" si="9">RANK(J66,$J$65:$J$68)</f>
        <v>2</v>
      </c>
      <c r="H66" s="69" t="str">
        <f>H10</f>
        <v>Equipe 6</v>
      </c>
      <c r="I66" s="69">
        <f>K15-J15+J20-K20+J24-K24</f>
        <v>0</v>
      </c>
      <c r="J66" s="681">
        <f>J10+3/10000000</f>
        <v>2.9999999999999999E-7</v>
      </c>
      <c r="K66" s="767"/>
      <c r="L66" s="76"/>
      <c r="M66" s="91">
        <f t="shared" ref="M66:M68" si="10">RANK(P66,$P$65:$P$68)</f>
        <v>2</v>
      </c>
      <c r="N66" s="69" t="str">
        <f>N10</f>
        <v>Equipe 10</v>
      </c>
      <c r="O66" s="69">
        <f>Q15-P15+P20-Q20+P24-Q24</f>
        <v>0</v>
      </c>
      <c r="P66" s="681">
        <f>P10+3/10000000</f>
        <v>2.9999999999999999E-7</v>
      </c>
      <c r="Q66" s="767"/>
      <c r="R66" s="105"/>
      <c r="S66" s="86">
        <f t="shared" ref="S66:S68" si="11">RANK(V66,$V$65:$V$68)</f>
        <v>2</v>
      </c>
      <c r="T66" s="69" t="str">
        <f>T10</f>
        <v>Equipe 14</v>
      </c>
      <c r="U66" s="69">
        <f>W15-V15+V20-W20+V24-W24</f>
        <v>0</v>
      </c>
      <c r="V66" s="681">
        <f>V10+3/10000000</f>
        <v>2.9999999999999999E-7</v>
      </c>
      <c r="W66" s="682"/>
    </row>
    <row r="67" spans="1:23" ht="14.45" hidden="1" customHeight="1" x14ac:dyDescent="0.25">
      <c r="A67" s="86">
        <f t="shared" si="8"/>
        <v>3</v>
      </c>
      <c r="B67" s="69" t="str">
        <f>B11</f>
        <v>Equipe 3</v>
      </c>
      <c r="C67" s="69">
        <f>D16-E16+E19-D19+E24-D24</f>
        <v>0</v>
      </c>
      <c r="D67" s="681">
        <f>D11+2/10000000</f>
        <v>1.9999999999999999E-7</v>
      </c>
      <c r="E67" s="767"/>
      <c r="F67" s="774"/>
      <c r="G67" s="91">
        <f t="shared" si="9"/>
        <v>3</v>
      </c>
      <c r="H67" s="69" t="str">
        <f>H11</f>
        <v>Equipe 7</v>
      </c>
      <c r="I67" s="69">
        <f>J16-K16+K19-J19+K24-J24</f>
        <v>0</v>
      </c>
      <c r="J67" s="681">
        <f>J11+2/10000000</f>
        <v>1.9999999999999999E-7</v>
      </c>
      <c r="K67" s="767"/>
      <c r="L67" s="76"/>
      <c r="M67" s="91">
        <f t="shared" si="10"/>
        <v>3</v>
      </c>
      <c r="N67" s="69" t="str">
        <f>N11</f>
        <v>Equipe 11</v>
      </c>
      <c r="O67" s="69">
        <f>P16-Q16+Q19-P19+Q24-P24</f>
        <v>0</v>
      </c>
      <c r="P67" s="681">
        <f>P11+2/10000000</f>
        <v>1.9999999999999999E-7</v>
      </c>
      <c r="Q67" s="767"/>
      <c r="R67" s="105"/>
      <c r="S67" s="86">
        <f t="shared" si="11"/>
        <v>3</v>
      </c>
      <c r="T67" s="69" t="str">
        <f>T11</f>
        <v>Equipe 15</v>
      </c>
      <c r="U67" s="69">
        <f>V16-W16+W19-V19+W24-V24</f>
        <v>0</v>
      </c>
      <c r="V67" s="681">
        <f>V11+2/10000000</f>
        <v>1.9999999999999999E-7</v>
      </c>
      <c r="W67" s="682"/>
    </row>
    <row r="68" spans="1:23" ht="14.45" hidden="1" customHeight="1" x14ac:dyDescent="0.25">
      <c r="A68" s="87">
        <f t="shared" si="8"/>
        <v>4</v>
      </c>
      <c r="B68" s="88" t="str">
        <f>B12</f>
        <v>Equipe 4</v>
      </c>
      <c r="C68" s="88">
        <f>E16-D16+E20-D20+E23-D23</f>
        <v>0</v>
      </c>
      <c r="D68" s="709">
        <f>D12+1/10000000</f>
        <v>9.9999999999999995E-8</v>
      </c>
      <c r="E68" s="761"/>
      <c r="F68" s="775"/>
      <c r="G68" s="92">
        <f t="shared" si="9"/>
        <v>4</v>
      </c>
      <c r="H68" s="88" t="str">
        <f>H12</f>
        <v>Equipe 8</v>
      </c>
      <c r="I68" s="88">
        <f>K16-J16+K20-J20+K23-J23</f>
        <v>0</v>
      </c>
      <c r="J68" s="709">
        <f>J12+1/10000000</f>
        <v>9.9999999999999995E-8</v>
      </c>
      <c r="K68" s="761"/>
      <c r="L68" s="78"/>
      <c r="M68" s="92">
        <f t="shared" si="10"/>
        <v>4</v>
      </c>
      <c r="N68" s="88" t="str">
        <f>N12</f>
        <v>Equipe 12</v>
      </c>
      <c r="O68" s="88">
        <f>Q16-P16+Q20-P20+Q23-P23</f>
        <v>0</v>
      </c>
      <c r="P68" s="709">
        <f>P12+1/10000000</f>
        <v>9.9999999999999995E-8</v>
      </c>
      <c r="Q68" s="761"/>
      <c r="R68" s="123"/>
      <c r="S68" s="87">
        <f t="shared" si="11"/>
        <v>4</v>
      </c>
      <c r="T68" s="88" t="str">
        <f>T12</f>
        <v>Equipe 16</v>
      </c>
      <c r="U68" s="88">
        <f>W16-V16+W20-V20+W23-V23</f>
        <v>0</v>
      </c>
      <c r="V68" s="709">
        <f>V12+1/10000000</f>
        <v>9.9999999999999995E-8</v>
      </c>
      <c r="W68" s="710"/>
    </row>
    <row r="69" spans="1:23" ht="16.5" hidden="1" thickBot="1" x14ac:dyDescent="0.3">
      <c r="A69" s="670" t="s">
        <v>47</v>
      </c>
      <c r="B69" s="671"/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2"/>
    </row>
    <row r="70" spans="1:23" ht="14.45" hidden="1" customHeight="1" x14ac:dyDescent="0.25">
      <c r="A70" s="96"/>
      <c r="B70" s="711" t="s">
        <v>62</v>
      </c>
      <c r="C70" s="711"/>
      <c r="D70" s="711" t="s">
        <v>15</v>
      </c>
      <c r="E70" s="712"/>
      <c r="F70" s="773"/>
      <c r="G70" s="96"/>
      <c r="H70" s="711" t="s">
        <v>63</v>
      </c>
      <c r="I70" s="711"/>
      <c r="J70" s="711" t="s">
        <v>15</v>
      </c>
      <c r="K70" s="712"/>
      <c r="L70" s="75"/>
      <c r="M70" s="96"/>
      <c r="N70" s="711" t="s">
        <v>64</v>
      </c>
      <c r="O70" s="711"/>
      <c r="P70" s="711" t="s">
        <v>15</v>
      </c>
      <c r="Q70" s="712"/>
      <c r="R70" s="122"/>
      <c r="S70" s="96"/>
      <c r="T70" s="711" t="s">
        <v>65</v>
      </c>
      <c r="U70" s="711"/>
      <c r="V70" s="711" t="s">
        <v>15</v>
      </c>
      <c r="W70" s="712"/>
    </row>
    <row r="71" spans="1:23" ht="14.45" hidden="1" customHeight="1" x14ac:dyDescent="0.25">
      <c r="A71" s="86">
        <f>RANK(D71,$D$71:$D$74)</f>
        <v>1</v>
      </c>
      <c r="B71" s="69" t="str">
        <f>B37</f>
        <v>4eme A</v>
      </c>
      <c r="C71" s="69">
        <f>D43-E43+D47-E47+D51-E51</f>
        <v>0</v>
      </c>
      <c r="D71" s="681">
        <f>D37+4/10000000</f>
        <v>3.9999999999999998E-7</v>
      </c>
      <c r="E71" s="682"/>
      <c r="F71" s="774"/>
      <c r="G71" s="86">
        <f>RANK(J71,$J$71:$J$74)</f>
        <v>1</v>
      </c>
      <c r="H71" s="69" t="str">
        <f>H37</f>
        <v>3eme A</v>
      </c>
      <c r="I71" s="69">
        <f>J43-K43+J47-K47+J51-K51</f>
        <v>0</v>
      </c>
      <c r="J71" s="681">
        <f>J37+4/10000000</f>
        <v>3.9999999999999998E-7</v>
      </c>
      <c r="K71" s="682"/>
      <c r="L71" s="76"/>
      <c r="M71" s="86">
        <f>RANK(P71,$P$71:$P$74)</f>
        <v>1</v>
      </c>
      <c r="N71" s="69" t="str">
        <f>N37</f>
        <v>2eme A</v>
      </c>
      <c r="O71" s="69">
        <f>P43-Q43+P47-Q47+P51-Q51</f>
        <v>0</v>
      </c>
      <c r="P71" s="681">
        <f>P37+4/10000000</f>
        <v>3.9999999999999998E-7</v>
      </c>
      <c r="Q71" s="682"/>
      <c r="R71" s="105"/>
      <c r="S71" s="86">
        <f>RANK(V71,$V$71:$V$74)</f>
        <v>1</v>
      </c>
      <c r="T71" s="69" t="str">
        <f>T37</f>
        <v>1er A</v>
      </c>
      <c r="U71" s="69">
        <f>V43-W43+V47-W47+V51-W51</f>
        <v>0</v>
      </c>
      <c r="V71" s="681">
        <f>V37+4/10000000</f>
        <v>3.9999999999999998E-7</v>
      </c>
      <c r="W71" s="682"/>
    </row>
    <row r="72" spans="1:23" ht="14.45" hidden="1" customHeight="1" x14ac:dyDescent="0.25">
      <c r="A72" s="86">
        <f t="shared" ref="A72:A74" si="12">RANK(D72,$D$71:$D$74)</f>
        <v>2</v>
      </c>
      <c r="B72" s="69" t="str">
        <f t="shared" ref="B72:B74" si="13">B38</f>
        <v>4eme B</v>
      </c>
      <c r="C72" s="69">
        <f>E43-D43+D48-E48+D52-E52</f>
        <v>0</v>
      </c>
      <c r="D72" s="681">
        <f>D38+3/10000000</f>
        <v>2.9999999999999999E-7</v>
      </c>
      <c r="E72" s="682"/>
      <c r="F72" s="774"/>
      <c r="G72" s="86">
        <f t="shared" ref="G72:G74" si="14">RANK(J72,$J$71:$J$74)</f>
        <v>2</v>
      </c>
      <c r="H72" s="69" t="str">
        <f t="shared" ref="H72:H74" si="15">H38</f>
        <v>3eme B</v>
      </c>
      <c r="I72" s="69">
        <f>K43-J43+J48-K48+J52-K52</f>
        <v>0</v>
      </c>
      <c r="J72" s="681">
        <f>J38+3/10000000</f>
        <v>2.9999999999999999E-7</v>
      </c>
      <c r="K72" s="682"/>
      <c r="L72" s="76"/>
      <c r="M72" s="86">
        <f t="shared" ref="M72:M74" si="16">RANK(P72,$P$71:$P$74)</f>
        <v>2</v>
      </c>
      <c r="N72" s="69" t="str">
        <f t="shared" ref="N72:N74" si="17">N38</f>
        <v>2eme B</v>
      </c>
      <c r="O72" s="69">
        <f>Q43-P43+P48-Q48+P52-Q52</f>
        <v>0</v>
      </c>
      <c r="P72" s="681">
        <f>P38+3/10000000</f>
        <v>2.9999999999999999E-7</v>
      </c>
      <c r="Q72" s="682"/>
      <c r="R72" s="105"/>
      <c r="S72" s="86">
        <f t="shared" ref="S72:S74" si="18">RANK(V72,$V$71:$V$74)</f>
        <v>2</v>
      </c>
      <c r="T72" s="69" t="str">
        <f t="shared" ref="T72:T74" si="19">T38</f>
        <v>1er B</v>
      </c>
      <c r="U72" s="69">
        <f>W43-V43+V48-W48+V52-W52</f>
        <v>0</v>
      </c>
      <c r="V72" s="681">
        <f>V38+3/10000000</f>
        <v>2.9999999999999999E-7</v>
      </c>
      <c r="W72" s="682"/>
    </row>
    <row r="73" spans="1:23" ht="14.45" hidden="1" customHeight="1" x14ac:dyDescent="0.25">
      <c r="A73" s="86">
        <f t="shared" si="12"/>
        <v>3</v>
      </c>
      <c r="B73" s="69" t="str">
        <f t="shared" si="13"/>
        <v>4eme C</v>
      </c>
      <c r="C73" s="69">
        <f>D44-E44+E47-D47+E52-D52</f>
        <v>0</v>
      </c>
      <c r="D73" s="681">
        <f>D39+2/10000000</f>
        <v>1.9999999999999999E-7</v>
      </c>
      <c r="E73" s="682"/>
      <c r="F73" s="774"/>
      <c r="G73" s="86">
        <f t="shared" si="14"/>
        <v>3</v>
      </c>
      <c r="H73" s="69" t="str">
        <f t="shared" si="15"/>
        <v>3eme C</v>
      </c>
      <c r="I73" s="69">
        <f>J44-K44+K47-J47+K52-J52</f>
        <v>0</v>
      </c>
      <c r="J73" s="681">
        <f>J39+2/10000000</f>
        <v>1.9999999999999999E-7</v>
      </c>
      <c r="K73" s="682"/>
      <c r="L73" s="76"/>
      <c r="M73" s="86">
        <f t="shared" si="16"/>
        <v>3</v>
      </c>
      <c r="N73" s="69" t="str">
        <f t="shared" si="17"/>
        <v>2eme C</v>
      </c>
      <c r="O73" s="69">
        <f>P44-Q44+Q47-P47+Q52-P52</f>
        <v>0</v>
      </c>
      <c r="P73" s="681">
        <f>P39+2/10000000</f>
        <v>1.9999999999999999E-7</v>
      </c>
      <c r="Q73" s="682"/>
      <c r="R73" s="105"/>
      <c r="S73" s="86">
        <f t="shared" si="18"/>
        <v>3</v>
      </c>
      <c r="T73" s="69" t="str">
        <f t="shared" si="19"/>
        <v>1er C</v>
      </c>
      <c r="U73" s="69">
        <f>V44-W44+W47-V47+W52-V52</f>
        <v>0</v>
      </c>
      <c r="V73" s="681">
        <f>V39+2/10000000</f>
        <v>1.9999999999999999E-7</v>
      </c>
      <c r="W73" s="682"/>
    </row>
    <row r="74" spans="1:23" ht="14.45" hidden="1" customHeight="1" x14ac:dyDescent="0.25">
      <c r="A74" s="87">
        <f t="shared" si="12"/>
        <v>4</v>
      </c>
      <c r="B74" s="88" t="str">
        <f t="shared" si="13"/>
        <v>4eme D</v>
      </c>
      <c r="C74" s="88">
        <f>E44-D44+E48-D48+E51-D51</f>
        <v>0</v>
      </c>
      <c r="D74" s="709">
        <f>D40+1/10000000</f>
        <v>9.9999999999999995E-8</v>
      </c>
      <c r="E74" s="710"/>
      <c r="F74" s="775"/>
      <c r="G74" s="87">
        <f t="shared" si="14"/>
        <v>4</v>
      </c>
      <c r="H74" s="88" t="str">
        <f t="shared" si="15"/>
        <v>3eme D</v>
      </c>
      <c r="I74" s="88">
        <f>K44-J44+K48-J48+K51-J51</f>
        <v>0</v>
      </c>
      <c r="J74" s="709">
        <f>J40+1/10000000</f>
        <v>9.9999999999999995E-8</v>
      </c>
      <c r="K74" s="710"/>
      <c r="L74" s="78"/>
      <c r="M74" s="87">
        <f t="shared" si="16"/>
        <v>4</v>
      </c>
      <c r="N74" s="88" t="str">
        <f t="shared" si="17"/>
        <v>2eme D</v>
      </c>
      <c r="O74" s="88">
        <f>Q44-P44+Q48-P48+Q51-P51</f>
        <v>0</v>
      </c>
      <c r="P74" s="709">
        <f>P40+1/10000000</f>
        <v>9.9999999999999995E-8</v>
      </c>
      <c r="Q74" s="710"/>
      <c r="R74" s="123"/>
      <c r="S74" s="87">
        <f t="shared" si="18"/>
        <v>4</v>
      </c>
      <c r="T74" s="88" t="str">
        <f t="shared" si="19"/>
        <v>1er D</v>
      </c>
      <c r="U74" s="88">
        <f>W44-V44+W48-V48+W51-V51</f>
        <v>0</v>
      </c>
      <c r="V74" s="709">
        <f>V40+1/10000000</f>
        <v>9.9999999999999995E-8</v>
      </c>
      <c r="W74" s="710"/>
    </row>
    <row r="75" spans="1:23" hidden="1" x14ac:dyDescent="0.25">
      <c r="A75" s="700"/>
      <c r="B75" s="700"/>
      <c r="C75" s="700"/>
      <c r="D75" s="700"/>
      <c r="E75" s="700"/>
      <c r="F75" s="700"/>
      <c r="G75" s="700"/>
      <c r="H75" s="700"/>
      <c r="I75" s="700"/>
      <c r="J75" s="700"/>
      <c r="K75" s="700"/>
      <c r="L75" s="700"/>
      <c r="M75" s="700"/>
      <c r="N75" s="700"/>
      <c r="O75" s="700"/>
      <c r="P75" s="700"/>
      <c r="Q75" s="700"/>
    </row>
    <row r="76" spans="1:23" hidden="1" x14ac:dyDescent="0.25">
      <c r="A76" s="1">
        <f>IF(D15="",0,(IF(D15&gt;E15,3,IF(D15=E15,1,0))))</f>
        <v>0</v>
      </c>
      <c r="B76" s="1">
        <f>IF(E15="",0,(IF(E15&gt;D15,3,IF(E15=D15,1,0))))</f>
        <v>0</v>
      </c>
      <c r="G76" s="1">
        <f>IF(J15="",0,(IF(J15&gt;K15,3,IF(J15=K15,1,0))))</f>
        <v>0</v>
      </c>
      <c r="H76" s="1">
        <f>IF(K15="",0,(IF(K15&gt;J15,3,IF(K15=J15,1,0))))</f>
        <v>0</v>
      </c>
      <c r="M76" s="1">
        <f>IF(P15="",0,(IF(P15&gt;Q15,3,IF(P15=Q15,1,0))))</f>
        <v>0</v>
      </c>
      <c r="N76" s="1">
        <f>IF(Q15="",0,(IF(Q15&gt;P15,3,IF(Q15=P15,1,0))))</f>
        <v>0</v>
      </c>
      <c r="S76" s="1">
        <f>IF(V15="",0,(IF(V15&gt;W15,3,IF(V15=W15,1,0))))</f>
        <v>0</v>
      </c>
      <c r="T76" s="1">
        <f>IF(W15="",0,(IF(W15&gt;V15,3,IF(W15=V15,1,0))))</f>
        <v>0</v>
      </c>
    </row>
    <row r="77" spans="1:23" hidden="1" x14ac:dyDescent="0.25">
      <c r="A77" s="1">
        <f>IF(D16="",0,(IF(D16&gt;E16,3,IF(D16=E16,1,0))))</f>
        <v>0</v>
      </c>
      <c r="B77" s="1">
        <f>IF(E16="",0,(IF(E16&gt;D16,3,IF(E16=D16,1,0))))</f>
        <v>0</v>
      </c>
      <c r="G77" s="1">
        <f>IF(J16="",0,(IF(J16&gt;K16,3,IF(J16=K16,1,0))))</f>
        <v>0</v>
      </c>
      <c r="H77" s="1">
        <f>IF(K16="",0,(IF(K16&gt;J16,3,IF(K16=J16,1,0))))</f>
        <v>0</v>
      </c>
      <c r="M77" s="1">
        <f>IF(P16="",0,(IF(P16&gt;Q16,3,IF(P16=Q16,1,0))))</f>
        <v>0</v>
      </c>
      <c r="N77" s="1">
        <f>IF(Q16="",0,(IF(Q16&gt;P16,3,IF(Q16=P16,1,0))))</f>
        <v>0</v>
      </c>
      <c r="S77" s="1">
        <f>IF(V16="",0,(IF(V16&gt;W16,3,IF(V16=W16,1,0))))</f>
        <v>0</v>
      </c>
      <c r="T77" s="1">
        <f>IF(W16="",0,(IF(W16&gt;V16,3,IF(W16=V16,1,0))))</f>
        <v>0</v>
      </c>
    </row>
    <row r="78" spans="1:23" hidden="1" x14ac:dyDescent="0.25"/>
    <row r="79" spans="1:23" hidden="1" x14ac:dyDescent="0.25"/>
    <row r="80" spans="1:23" hidden="1" x14ac:dyDescent="0.25">
      <c r="A80" s="1">
        <f>IF(D19="",0,(IF(D19&gt;E19,3,IF(D19=E19,1,0))))</f>
        <v>0</v>
      </c>
      <c r="B80" s="1">
        <f>IF(E19="",0,(IF(E19&gt;D19,3,IF(E19=D19,1,0))))</f>
        <v>0</v>
      </c>
      <c r="G80" s="1">
        <f>IF(J19="",0,(IF(J19&gt;K19,3,IF(J19=K19,1,0))))</f>
        <v>0</v>
      </c>
      <c r="H80" s="1">
        <f>IF(K19="",0,(IF(K19&gt;J19,3,IF(K19=J19,1,0))))</f>
        <v>0</v>
      </c>
      <c r="M80" s="1">
        <f>IF(P19="",0,(IF(P19&gt;Q19,3,IF(P19=Q19,1,0))))</f>
        <v>0</v>
      </c>
      <c r="N80" s="1">
        <f>IF(Q19="",0,(IF(Q19&gt;P19,3,IF(Q19=P19,1,0))))</f>
        <v>0</v>
      </c>
      <c r="S80" s="1">
        <f>IF(V19="",0,(IF(V19&gt;W19,3,IF(V19=W19,1,0))))</f>
        <v>0</v>
      </c>
      <c r="T80" s="1">
        <f>IF(W19="",0,(IF(W19&gt;V19,3,IF(W19=V19,1,0))))</f>
        <v>0</v>
      </c>
    </row>
    <row r="81" spans="1:20" hidden="1" x14ac:dyDescent="0.25">
      <c r="A81" s="1">
        <f>IF(D20="",0,(IF(D20&gt;E20,3,IF(D20=E20,1,0))))</f>
        <v>0</v>
      </c>
      <c r="B81" s="1">
        <f>IF(E20="",0,(IF(E20&gt;D20,3,IF(E20=D20,1,0))))</f>
        <v>0</v>
      </c>
      <c r="G81" s="1">
        <f>IF(J20="",0,(IF(J20&gt;K20,3,IF(J20=K20,1,0))))</f>
        <v>0</v>
      </c>
      <c r="H81" s="1">
        <f>IF(K20="",0,(IF(K20&gt;J20,3,IF(K20=J20,1,0))))</f>
        <v>0</v>
      </c>
      <c r="M81" s="1">
        <f>IF(P20="",0,(IF(P20&gt;Q20,3,IF(P20=Q20,1,0))))</f>
        <v>0</v>
      </c>
      <c r="N81" s="1">
        <f>IF(Q20="",0,(IF(Q20&gt;P20,3,IF(Q20=P20,1,0))))</f>
        <v>0</v>
      </c>
      <c r="S81" s="1">
        <f>IF(V20="",0,(IF(V20&gt;W20,3,IF(V20=W20,1,0))))</f>
        <v>0</v>
      </c>
      <c r="T81" s="1">
        <f>IF(W20="",0,(IF(W20&gt;V20,3,IF(W20=V20,1,0))))</f>
        <v>0</v>
      </c>
    </row>
    <row r="82" spans="1:20" hidden="1" x14ac:dyDescent="0.25"/>
    <row r="83" spans="1:20" hidden="1" x14ac:dyDescent="0.25"/>
    <row r="84" spans="1:20" hidden="1" x14ac:dyDescent="0.25">
      <c r="A84" s="1">
        <f>IF(D23="",0,(IF(D23&gt;E23,3,IF(D23=E23,1,0))))</f>
        <v>0</v>
      </c>
      <c r="B84" s="1">
        <f>IF(E23="",0,(IF(E23&gt;D23,3,IF(E23=D23,1,0))))</f>
        <v>0</v>
      </c>
      <c r="G84" s="1">
        <f>IF(J23="",0,(IF(J23&gt;K23,3,IF(J23=K23,1,0))))</f>
        <v>0</v>
      </c>
      <c r="H84" s="1">
        <f>IF(K23="",0,(IF(K23&gt;J23,3,IF(K23=J23,1,0))))</f>
        <v>0</v>
      </c>
      <c r="M84" s="1">
        <f>IF(P23="",0,(IF(P23&gt;Q23,3,IF(P23=Q23,1,0))))</f>
        <v>0</v>
      </c>
      <c r="N84" s="1">
        <f>IF(Q23="",0,(IF(Q23&gt;P23,3,IF(Q23=P23,1,0))))</f>
        <v>0</v>
      </c>
      <c r="S84" s="1">
        <f>IF(V23="",0,(IF(V23&gt;W23,3,IF(V23=W23,1,0))))</f>
        <v>0</v>
      </c>
      <c r="T84" s="1">
        <f>IF(W23="",0,(IF(W23&gt;V23,3,IF(W23=V23,1,0))))</f>
        <v>0</v>
      </c>
    </row>
    <row r="85" spans="1:20" hidden="1" x14ac:dyDescent="0.25">
      <c r="A85" s="1">
        <f>IF(D24="",0,(IF(D24&gt;E24,3,IF(D24=E24,1,0))))</f>
        <v>0</v>
      </c>
      <c r="B85" s="1">
        <f>IF(E24="",0,(IF(E24&gt;D24,3,IF(E24=D24,1,0))))</f>
        <v>0</v>
      </c>
      <c r="G85" s="1">
        <f>IF(J24="",0,(IF(J24&gt;K24,3,IF(J24=K24,1,0))))</f>
        <v>0</v>
      </c>
      <c r="H85" s="1">
        <f>IF(K24="",0,(IF(K24&gt;J24,3,IF(K24=J24,1,0))))</f>
        <v>0</v>
      </c>
      <c r="M85" s="1">
        <f>IF(P24="",0,(IF(P24&gt;Q24,3,IF(P24=Q24,1,0))))</f>
        <v>0</v>
      </c>
      <c r="N85" s="1">
        <f>IF(Q24="",0,(IF(Q24&gt;P24,3,IF(Q24=P24,1,0))))</f>
        <v>0</v>
      </c>
      <c r="S85" s="1">
        <f>IF(V24="",0,(IF(V24&gt;W24,3,IF(V24=W24,1,0))))</f>
        <v>0</v>
      </c>
      <c r="T85" s="1">
        <f>IF(W24="",0,(IF(W24&gt;V24,3,IF(W24=V24,1,0))))</f>
        <v>0</v>
      </c>
    </row>
    <row r="86" spans="1:20" hidden="1" x14ac:dyDescent="0.25"/>
    <row r="87" spans="1:20" hidden="1" x14ac:dyDescent="0.25"/>
    <row r="88" spans="1:20" hidden="1" x14ac:dyDescent="0.25"/>
    <row r="89" spans="1:20" hidden="1" x14ac:dyDescent="0.25"/>
    <row r="90" spans="1:20" hidden="1" x14ac:dyDescent="0.25"/>
    <row r="91" spans="1:20" hidden="1" x14ac:dyDescent="0.25"/>
    <row r="92" spans="1:20" hidden="1" x14ac:dyDescent="0.25"/>
    <row r="93" spans="1:20" hidden="1" x14ac:dyDescent="0.25"/>
    <row r="94" spans="1:20" hidden="1" x14ac:dyDescent="0.25"/>
    <row r="95" spans="1:20" hidden="1" x14ac:dyDescent="0.25"/>
    <row r="96" spans="1:20" hidden="1" x14ac:dyDescent="0.25"/>
    <row r="97" spans="1:20" hidden="1" x14ac:dyDescent="0.25"/>
    <row r="98" spans="1:20" hidden="1" x14ac:dyDescent="0.25"/>
    <row r="99" spans="1:20" hidden="1" x14ac:dyDescent="0.25"/>
    <row r="100" spans="1:20" hidden="1" x14ac:dyDescent="0.25"/>
    <row r="101" spans="1:20" hidden="1" x14ac:dyDescent="0.25"/>
    <row r="102" spans="1:20" hidden="1" x14ac:dyDescent="0.25">
      <c r="A102" s="1">
        <f>IF(D43="",0,(IF(D43&gt;E43,3,IF(D43=E43,1,0))))</f>
        <v>0</v>
      </c>
      <c r="B102" s="1">
        <f>IF(E43="",0,(IF(E43&gt;D43,3,IF(E43=D43,1,0))))</f>
        <v>0</v>
      </c>
      <c r="G102" s="1">
        <f>IF(J43="",0,(IF(J43&gt;K43,3,IF(J43=K43,1,0))))</f>
        <v>0</v>
      </c>
      <c r="H102" s="1">
        <f>IF(K43="",0,(IF(K43&gt;J43,3,IF(K43=J43,1,0))))</f>
        <v>0</v>
      </c>
      <c r="M102" s="1">
        <f>IF(P43="",0,(IF(P43&gt;Q43,3,IF(P43=Q43,1,0))))</f>
        <v>0</v>
      </c>
      <c r="N102" s="1">
        <f>IF(Q43="",0,(IF(Q43&gt;P43,3,IF(Q43=P43,1,0))))</f>
        <v>0</v>
      </c>
      <c r="S102" s="1">
        <f>IF(V43="",0,(IF(V43&gt;W43,3,IF(V43=W43,1,0))))</f>
        <v>0</v>
      </c>
      <c r="T102" s="1">
        <f>IF(W43="",0,(IF(W43&gt;V43,3,IF(W43=V43,1,0))))</f>
        <v>0</v>
      </c>
    </row>
    <row r="103" spans="1:20" hidden="1" x14ac:dyDescent="0.25">
      <c r="A103" s="1">
        <f>IF(D44="",0,(IF(D44&gt;E44,3,IF(D44=E44,1,0))))</f>
        <v>0</v>
      </c>
      <c r="B103" s="1">
        <f>IF(E44="",0,(IF(E44&gt;D44,3,IF(E44=D44,1,0))))</f>
        <v>0</v>
      </c>
      <c r="G103" s="1">
        <f>IF(J44="",0,(IF(J44&gt;K44,3,IF(J44=K44,1,0))))</f>
        <v>0</v>
      </c>
      <c r="H103" s="1">
        <f>IF(K44="",0,(IF(K44&gt;J44,3,IF(K44=J44,1,0))))</f>
        <v>0</v>
      </c>
      <c r="M103" s="1">
        <f>IF(P44="",0,(IF(P44&gt;Q44,3,IF(P44=Q44,1,0))))</f>
        <v>0</v>
      </c>
      <c r="N103" s="1">
        <f>IF(Q44="",0,(IF(Q44&gt;P44,3,IF(Q44=P44,1,0))))</f>
        <v>0</v>
      </c>
      <c r="S103" s="1">
        <f>IF(V44="",0,(IF(V44&gt;W44,3,IF(V44=W44,1,0))))</f>
        <v>0</v>
      </c>
      <c r="T103" s="1">
        <f>IF(W44="",0,(IF(W44&gt;V44,3,IF(W44=V44,1,0))))</f>
        <v>0</v>
      </c>
    </row>
    <row r="104" spans="1:20" hidden="1" x14ac:dyDescent="0.25"/>
    <row r="105" spans="1:20" hidden="1" x14ac:dyDescent="0.25"/>
    <row r="106" spans="1:20" hidden="1" x14ac:dyDescent="0.25">
      <c r="A106" s="1">
        <f>IF(D47="",0,(IF(D47&gt;E47,3,IF(D47=E47,1,0))))</f>
        <v>0</v>
      </c>
      <c r="B106" s="1">
        <f>IF(E47="",0,(IF(E47&gt;D47,3,IF(E47=D47,1,0))))</f>
        <v>0</v>
      </c>
      <c r="G106" s="1">
        <f>IF(J47="",0,(IF(J47&gt;K47,3,IF(J47=K47,1,0))))</f>
        <v>0</v>
      </c>
      <c r="H106" s="1">
        <f>IF(K47="",0,(IF(K47&gt;J47,3,IF(K47=J47,1,0))))</f>
        <v>0</v>
      </c>
      <c r="M106" s="1">
        <f>IF(P47="",0,(IF(P47&gt;Q47,3,IF(P47=Q47,1,0))))</f>
        <v>0</v>
      </c>
      <c r="N106" s="1">
        <f>IF(Q47="",0,(IF(Q47&gt;P47,3,IF(Q47=P47,1,0))))</f>
        <v>0</v>
      </c>
      <c r="S106" s="1">
        <f>IF(V47="",0,(IF(V47&gt;W47,3,IF(V47=W47,1,0))))</f>
        <v>0</v>
      </c>
      <c r="T106" s="1">
        <f>IF(W47="",0,(IF(W47&gt;V47,3,IF(W47=V47,1,0))))</f>
        <v>0</v>
      </c>
    </row>
    <row r="107" spans="1:20" hidden="1" x14ac:dyDescent="0.25">
      <c r="A107" s="1">
        <f>IF(D48="",0,(IF(D48&gt;E48,3,IF(D48=E48,1,0))))</f>
        <v>0</v>
      </c>
      <c r="B107" s="1">
        <f>IF(E48="",0,(IF(E48&gt;D48,3,IF(E48=D48,1,0))))</f>
        <v>0</v>
      </c>
      <c r="G107" s="1">
        <f>IF(J48="",0,(IF(J48&gt;K48,3,IF(J48=K48,1,0))))</f>
        <v>0</v>
      </c>
      <c r="H107" s="1">
        <f>IF(K48="",0,(IF(K48&gt;J48,3,IF(K48=J48,1,0))))</f>
        <v>0</v>
      </c>
      <c r="M107" s="1">
        <f>IF(P48="",0,(IF(P48&gt;Q48,3,IF(P48=Q48,1,0))))</f>
        <v>0</v>
      </c>
      <c r="N107" s="1">
        <f>IF(Q48="",0,(IF(Q48&gt;P48,3,IF(Q48=P48,1,0))))</f>
        <v>0</v>
      </c>
      <c r="S107" s="1">
        <f>IF(V48="",0,(IF(V48&gt;W48,3,IF(V48=W48,1,0))))</f>
        <v>0</v>
      </c>
      <c r="T107" s="1">
        <f>IF(W48="",0,(IF(W48&gt;V48,3,IF(W48=V48,1,0))))</f>
        <v>0</v>
      </c>
    </row>
    <row r="108" spans="1:20" hidden="1" x14ac:dyDescent="0.25"/>
    <row r="109" spans="1:20" hidden="1" x14ac:dyDescent="0.25"/>
    <row r="110" spans="1:20" hidden="1" x14ac:dyDescent="0.25">
      <c r="A110" s="1">
        <f>IF(D51="",0,(IF(D51&gt;E51,3,IF(D51=E51,1,0))))</f>
        <v>0</v>
      </c>
      <c r="B110" s="1">
        <f>IF(E51="",0,(IF(E51&gt;D51,3,IF(E51=D51,1,0))))</f>
        <v>0</v>
      </c>
      <c r="G110" s="1">
        <f>IF(J51="",0,(IF(J51&gt;K51,3,IF(J51=K51,1,0))))</f>
        <v>0</v>
      </c>
      <c r="H110" s="1">
        <f>IF(K51="",0,(IF(K51&gt;J51,3,IF(K51=J51,1,0))))</f>
        <v>0</v>
      </c>
      <c r="M110" s="1">
        <f>IF(P51="",0,(IF(P51&gt;Q51,3,IF(P51=Q51,1,0))))</f>
        <v>0</v>
      </c>
      <c r="N110" s="1">
        <f>IF(Q51="",0,(IF(Q51&gt;P51,3,IF(Q51=P51,1,0))))</f>
        <v>0</v>
      </c>
      <c r="S110" s="1">
        <f>IF(V51="",0,(IF(V51&gt;W51,3,IF(V51=W51,1,0))))</f>
        <v>0</v>
      </c>
      <c r="T110" s="1">
        <f>IF(W51="",0,(IF(W51&gt;V51,3,IF(W51=V51,1,0))))</f>
        <v>0</v>
      </c>
    </row>
    <row r="111" spans="1:20" hidden="1" x14ac:dyDescent="0.25">
      <c r="A111" s="1">
        <f>IF(D52="",0,(IF(D52&gt;E52,3,IF(D52=E52,1,0))))</f>
        <v>0</v>
      </c>
      <c r="B111" s="1">
        <f>IF(E52="",0,(IF(E52&gt;D52,3,IF(E52=D52,1,0))))</f>
        <v>0</v>
      </c>
      <c r="G111" s="1">
        <f>IF(J52="",0,(IF(J52&gt;K52,3,IF(J52=K52,1,0))))</f>
        <v>0</v>
      </c>
      <c r="H111" s="1">
        <f>IF(K52="",0,(IF(K52&gt;J52,3,IF(K52=J52,1,0))))</f>
        <v>0</v>
      </c>
      <c r="M111" s="1">
        <f>IF(P52="",0,(IF(P52&gt;Q52,3,IF(P52=Q52,1,0))))</f>
        <v>0</v>
      </c>
      <c r="N111" s="1">
        <f>IF(Q52="",0,(IF(Q52&gt;P52,3,IF(Q52=P52,1,0))))</f>
        <v>0</v>
      </c>
      <c r="S111" s="1">
        <f>IF(V52="",0,(IF(V52&gt;W52,3,IF(V52=W52,1,0))))</f>
        <v>0</v>
      </c>
      <c r="T111" s="1">
        <f>IF(W52="",0,(IF(W52&gt;V52,3,IF(W52=V52,1,0))))</f>
        <v>0</v>
      </c>
    </row>
    <row r="112" spans="1:20" hidden="1" x14ac:dyDescent="0.25"/>
    <row r="113" hidden="1" x14ac:dyDescent="0.25"/>
  </sheetData>
  <sheetProtection sheet="1" scenarios="1" selectLockedCells="1"/>
  <mergeCells count="285">
    <mergeCell ref="A75:Q75"/>
    <mergeCell ref="D72:E72"/>
    <mergeCell ref="J72:K72"/>
    <mergeCell ref="P72:Q72"/>
    <mergeCell ref="V72:W72"/>
    <mergeCell ref="D73:E73"/>
    <mergeCell ref="J73:K73"/>
    <mergeCell ref="P73:Q73"/>
    <mergeCell ref="V73:W73"/>
    <mergeCell ref="D71:E71"/>
    <mergeCell ref="J71:K71"/>
    <mergeCell ref="P71:Q71"/>
    <mergeCell ref="V71:W71"/>
    <mergeCell ref="D68:E68"/>
    <mergeCell ref="J68:K68"/>
    <mergeCell ref="P68:Q68"/>
    <mergeCell ref="V68:W68"/>
    <mergeCell ref="A69:W69"/>
    <mergeCell ref="B70:C70"/>
    <mergeCell ref="D70:E70"/>
    <mergeCell ref="F70:F74"/>
    <mergeCell ref="H70:I70"/>
    <mergeCell ref="J70:K70"/>
    <mergeCell ref="D74:E74"/>
    <mergeCell ref="J74:K74"/>
    <mergeCell ref="P74:Q74"/>
    <mergeCell ref="V74:W74"/>
    <mergeCell ref="N64:O64"/>
    <mergeCell ref="P64:Q64"/>
    <mergeCell ref="T64:U64"/>
    <mergeCell ref="V64:W64"/>
    <mergeCell ref="D65:E65"/>
    <mergeCell ref="J65:K65"/>
    <mergeCell ref="P65:Q65"/>
    <mergeCell ref="V65:W65"/>
    <mergeCell ref="N70:O70"/>
    <mergeCell ref="P70:Q70"/>
    <mergeCell ref="T70:U70"/>
    <mergeCell ref="V70:W70"/>
    <mergeCell ref="T59:U59"/>
    <mergeCell ref="V59:W59"/>
    <mergeCell ref="A60:W60"/>
    <mergeCell ref="A61:W61"/>
    <mergeCell ref="A63:W63"/>
    <mergeCell ref="B64:C64"/>
    <mergeCell ref="D64:E64"/>
    <mergeCell ref="F64:F68"/>
    <mergeCell ref="H64:I64"/>
    <mergeCell ref="J64:K64"/>
    <mergeCell ref="B59:C59"/>
    <mergeCell ref="D59:E59"/>
    <mergeCell ref="H59:I59"/>
    <mergeCell ref="J59:K59"/>
    <mergeCell ref="N59:O59"/>
    <mergeCell ref="P59:Q59"/>
    <mergeCell ref="D66:E66"/>
    <mergeCell ref="J66:K66"/>
    <mergeCell ref="P66:Q66"/>
    <mergeCell ref="V66:W66"/>
    <mergeCell ref="D67:E67"/>
    <mergeCell ref="J67:K67"/>
    <mergeCell ref="P67:Q67"/>
    <mergeCell ref="V67:W67"/>
    <mergeCell ref="B58:C58"/>
    <mergeCell ref="D58:E58"/>
    <mergeCell ref="H58:I58"/>
    <mergeCell ref="J58:K58"/>
    <mergeCell ref="N58:O58"/>
    <mergeCell ref="P58:Q58"/>
    <mergeCell ref="T58:U58"/>
    <mergeCell ref="V58:W58"/>
    <mergeCell ref="B57:C57"/>
    <mergeCell ref="D57:E57"/>
    <mergeCell ref="H57:I57"/>
    <mergeCell ref="J57:K57"/>
    <mergeCell ref="N57:O57"/>
    <mergeCell ref="P57:Q57"/>
    <mergeCell ref="B56:C56"/>
    <mergeCell ref="D56:E56"/>
    <mergeCell ref="H56:I56"/>
    <mergeCell ref="J56:K56"/>
    <mergeCell ref="N56:O56"/>
    <mergeCell ref="P56:Q56"/>
    <mergeCell ref="T56:U56"/>
    <mergeCell ref="V56:W56"/>
    <mergeCell ref="T57:U57"/>
    <mergeCell ref="V57:W57"/>
    <mergeCell ref="T50:U50"/>
    <mergeCell ref="V50:W50"/>
    <mergeCell ref="A54:W54"/>
    <mergeCell ref="B55:C55"/>
    <mergeCell ref="D55:E55"/>
    <mergeCell ref="H55:I55"/>
    <mergeCell ref="J55:K55"/>
    <mergeCell ref="N55:O55"/>
    <mergeCell ref="P55:Q55"/>
    <mergeCell ref="T55:U55"/>
    <mergeCell ref="B50:C50"/>
    <mergeCell ref="D50:E50"/>
    <mergeCell ref="H50:I50"/>
    <mergeCell ref="J50:K50"/>
    <mergeCell ref="N50:O50"/>
    <mergeCell ref="P50:Q50"/>
    <mergeCell ref="V55:W55"/>
    <mergeCell ref="T42:U42"/>
    <mergeCell ref="V42:W42"/>
    <mergeCell ref="B46:C46"/>
    <mergeCell ref="D46:E46"/>
    <mergeCell ref="H46:I46"/>
    <mergeCell ref="J46:K46"/>
    <mergeCell ref="N46:O46"/>
    <mergeCell ref="P46:Q46"/>
    <mergeCell ref="T46:U46"/>
    <mergeCell ref="V46:W46"/>
    <mergeCell ref="B42:C42"/>
    <mergeCell ref="D42:E42"/>
    <mergeCell ref="H42:I42"/>
    <mergeCell ref="J42:K42"/>
    <mergeCell ref="N42:O42"/>
    <mergeCell ref="P42:Q42"/>
    <mergeCell ref="T39:U39"/>
    <mergeCell ref="V39:W39"/>
    <mergeCell ref="B40:C40"/>
    <mergeCell ref="D40:E40"/>
    <mergeCell ref="H40:I40"/>
    <mergeCell ref="J40:K40"/>
    <mergeCell ref="N40:O40"/>
    <mergeCell ref="P40:Q40"/>
    <mergeCell ref="T40:U40"/>
    <mergeCell ref="V40:W40"/>
    <mergeCell ref="B39:C39"/>
    <mergeCell ref="D39:E39"/>
    <mergeCell ref="H39:I39"/>
    <mergeCell ref="J39:K39"/>
    <mergeCell ref="N39:O39"/>
    <mergeCell ref="P39:Q39"/>
    <mergeCell ref="T37:U37"/>
    <mergeCell ref="V37:W37"/>
    <mergeCell ref="B38:C38"/>
    <mergeCell ref="D38:E38"/>
    <mergeCell ref="H38:I38"/>
    <mergeCell ref="J38:K38"/>
    <mergeCell ref="N38:O38"/>
    <mergeCell ref="P38:Q38"/>
    <mergeCell ref="T38:U38"/>
    <mergeCell ref="V38:W38"/>
    <mergeCell ref="B37:C37"/>
    <mergeCell ref="D37:E37"/>
    <mergeCell ref="H37:I37"/>
    <mergeCell ref="J37:K37"/>
    <mergeCell ref="N37:O37"/>
    <mergeCell ref="P37:Q37"/>
    <mergeCell ref="A35:K35"/>
    <mergeCell ref="M35:W35"/>
    <mergeCell ref="B36:C36"/>
    <mergeCell ref="D36:E36"/>
    <mergeCell ref="H36:I36"/>
    <mergeCell ref="J36:K36"/>
    <mergeCell ref="N36:O36"/>
    <mergeCell ref="P36:Q36"/>
    <mergeCell ref="T36:U36"/>
    <mergeCell ref="V36:W36"/>
    <mergeCell ref="T31:U31"/>
    <mergeCell ref="V31:W31"/>
    <mergeCell ref="A32:W32"/>
    <mergeCell ref="A34:H34"/>
    <mergeCell ref="J34:L34"/>
    <mergeCell ref="O34:W34"/>
    <mergeCell ref="B31:C31"/>
    <mergeCell ref="D31:E31"/>
    <mergeCell ref="H31:I31"/>
    <mergeCell ref="J31:K31"/>
    <mergeCell ref="N31:O31"/>
    <mergeCell ref="P31:Q31"/>
    <mergeCell ref="B30:C30"/>
    <mergeCell ref="D30:E30"/>
    <mergeCell ref="H30:I30"/>
    <mergeCell ref="J30:K30"/>
    <mergeCell ref="N30:O30"/>
    <mergeCell ref="P30:Q30"/>
    <mergeCell ref="T30:U30"/>
    <mergeCell ref="V30:W30"/>
    <mergeCell ref="B29:C29"/>
    <mergeCell ref="D29:E29"/>
    <mergeCell ref="H29:I29"/>
    <mergeCell ref="J29:K29"/>
    <mergeCell ref="N29:O29"/>
    <mergeCell ref="P29:Q29"/>
    <mergeCell ref="B28:C28"/>
    <mergeCell ref="D28:E28"/>
    <mergeCell ref="H28:I28"/>
    <mergeCell ref="J28:K28"/>
    <mergeCell ref="N28:O28"/>
    <mergeCell ref="P28:Q28"/>
    <mergeCell ref="T28:U28"/>
    <mergeCell ref="V28:W28"/>
    <mergeCell ref="T29:U29"/>
    <mergeCell ref="V29:W29"/>
    <mergeCell ref="T22:U22"/>
    <mergeCell ref="V22:W22"/>
    <mergeCell ref="A26:W26"/>
    <mergeCell ref="B27:C27"/>
    <mergeCell ref="D27:E27"/>
    <mergeCell ref="H27:I27"/>
    <mergeCell ref="J27:K27"/>
    <mergeCell ref="N27:O27"/>
    <mergeCell ref="P27:Q27"/>
    <mergeCell ref="T27:U27"/>
    <mergeCell ref="B22:C22"/>
    <mergeCell ref="D22:E22"/>
    <mergeCell ref="H22:I22"/>
    <mergeCell ref="J22:K22"/>
    <mergeCell ref="N22:O22"/>
    <mergeCell ref="P22:Q22"/>
    <mergeCell ref="V27:W27"/>
    <mergeCell ref="T14:U14"/>
    <mergeCell ref="V14:W14"/>
    <mergeCell ref="B18:C18"/>
    <mergeCell ref="D18:E18"/>
    <mergeCell ref="H18:I18"/>
    <mergeCell ref="J18:K18"/>
    <mergeCell ref="N18:O18"/>
    <mergeCell ref="P18:Q18"/>
    <mergeCell ref="T18:U18"/>
    <mergeCell ref="V18:W18"/>
    <mergeCell ref="B14:C14"/>
    <mergeCell ref="D14:E14"/>
    <mergeCell ref="H14:I14"/>
    <mergeCell ref="J14:K14"/>
    <mergeCell ref="N14:O14"/>
    <mergeCell ref="P14:Q14"/>
    <mergeCell ref="T11:U11"/>
    <mergeCell ref="V11:W11"/>
    <mergeCell ref="B12:C12"/>
    <mergeCell ref="D12:E12"/>
    <mergeCell ref="H12:I12"/>
    <mergeCell ref="J12:K12"/>
    <mergeCell ref="N12:O12"/>
    <mergeCell ref="P12:Q12"/>
    <mergeCell ref="T12:U12"/>
    <mergeCell ref="V12:W12"/>
    <mergeCell ref="B11:C11"/>
    <mergeCell ref="D11:E11"/>
    <mergeCell ref="H11:I11"/>
    <mergeCell ref="J11:K11"/>
    <mergeCell ref="N11:O11"/>
    <mergeCell ref="P11:Q11"/>
    <mergeCell ref="B9:C9"/>
    <mergeCell ref="D9:E9"/>
    <mergeCell ref="H9:I9"/>
    <mergeCell ref="J9:K9"/>
    <mergeCell ref="N9:O9"/>
    <mergeCell ref="P9:Q9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A6:H6"/>
    <mergeCell ref="J6:L6"/>
    <mergeCell ref="O6:W6"/>
    <mergeCell ref="A7:K7"/>
    <mergeCell ref="M7:W7"/>
    <mergeCell ref="B8:C8"/>
    <mergeCell ref="D8:E8"/>
    <mergeCell ref="H8:I8"/>
    <mergeCell ref="J8:K8"/>
    <mergeCell ref="N8:O8"/>
    <mergeCell ref="P8:Q8"/>
    <mergeCell ref="T8:U8"/>
    <mergeCell ref="V8:W8"/>
    <mergeCell ref="A1:T1"/>
    <mergeCell ref="U1:W5"/>
    <mergeCell ref="A3:I3"/>
    <mergeCell ref="E4:G4"/>
    <mergeCell ref="I4:K4"/>
    <mergeCell ref="L4:M4"/>
    <mergeCell ref="E5:G5"/>
    <mergeCell ref="L5:M5"/>
    <mergeCell ref="R5:S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65" orientation="landscape" horizontalDpi="300" verticalDpi="300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X113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296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690"/>
      <c r="V1" s="691"/>
      <c r="W1" s="692"/>
    </row>
    <row r="2" spans="1:23" ht="24.95" customHeight="1" x14ac:dyDescent="0.25">
      <c r="A2" s="262" t="s">
        <v>169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693"/>
      <c r="V2" s="694"/>
      <c r="W2" s="695"/>
    </row>
    <row r="3" spans="1:23" ht="24.95" customHeight="1" thickBot="1" x14ac:dyDescent="0.3">
      <c r="A3" s="736" t="s">
        <v>13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693"/>
      <c r="V3" s="694"/>
      <c r="W3" s="695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523"/>
      <c r="I4" s="741" t="s">
        <v>54</v>
      </c>
      <c r="J4" s="741"/>
      <c r="K4" s="741"/>
      <c r="L4" s="742">
        <f>(3*J6)+(3*J34)</f>
        <v>0.05</v>
      </c>
      <c r="M4" s="742"/>
      <c r="N4" s="264" t="s">
        <v>33</v>
      </c>
      <c r="O4" s="319"/>
      <c r="P4" s="200"/>
      <c r="Q4" s="200"/>
      <c r="R4" s="200"/>
      <c r="S4" s="200"/>
      <c r="T4" s="201"/>
      <c r="U4" s="693"/>
      <c r="V4" s="694"/>
      <c r="W4" s="695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S52-A15+J34+"00:02"</f>
        <v>0.12430555555555575</v>
      </c>
      <c r="F5" s="810"/>
      <c r="G5" s="810"/>
      <c r="H5" s="215"/>
      <c r="I5" s="216" t="s">
        <v>79</v>
      </c>
      <c r="J5" s="216"/>
      <c r="K5" s="216"/>
      <c r="L5" s="687">
        <v>1.3888888888888888E-2</v>
      </c>
      <c r="M5" s="688"/>
      <c r="N5" s="215"/>
      <c r="O5" s="216" t="s">
        <v>242</v>
      </c>
      <c r="P5" s="216"/>
      <c r="Q5" s="216"/>
      <c r="R5" s="687">
        <v>2.0833333333333333E-3</v>
      </c>
      <c r="S5" s="688"/>
      <c r="T5" s="320"/>
      <c r="U5" s="696"/>
      <c r="V5" s="697"/>
      <c r="W5" s="698"/>
    </row>
    <row r="6" spans="1:23" ht="16.5" thickBot="1" x14ac:dyDescent="0.3">
      <c r="A6" s="701" t="s">
        <v>35</v>
      </c>
      <c r="B6" s="685"/>
      <c r="C6" s="685"/>
      <c r="D6" s="685"/>
      <c r="E6" s="685"/>
      <c r="F6" s="685"/>
      <c r="G6" s="685"/>
      <c r="H6" s="685"/>
      <c r="I6" s="520" t="s">
        <v>18</v>
      </c>
      <c r="J6" s="782">
        <v>8.3333333333333332E-3</v>
      </c>
      <c r="K6" s="782"/>
      <c r="L6" s="782"/>
      <c r="M6" s="527" t="s">
        <v>17</v>
      </c>
      <c r="N6" s="520"/>
      <c r="O6" s="686"/>
      <c r="P6" s="686"/>
      <c r="Q6" s="686"/>
      <c r="R6" s="686"/>
      <c r="S6" s="686"/>
      <c r="T6" s="686"/>
      <c r="U6" s="686"/>
      <c r="V6" s="686"/>
      <c r="W6" s="781"/>
    </row>
    <row r="7" spans="1:23" ht="16.5" thickBot="1" x14ac:dyDescent="0.3">
      <c r="A7" s="780" t="s">
        <v>87</v>
      </c>
      <c r="B7" s="686"/>
      <c r="C7" s="686"/>
      <c r="D7" s="686"/>
      <c r="E7" s="781"/>
      <c r="F7" s="139"/>
      <c r="G7" s="780" t="s">
        <v>88</v>
      </c>
      <c r="H7" s="686"/>
      <c r="I7" s="686"/>
      <c r="J7" s="686"/>
      <c r="K7" s="781"/>
      <c r="L7" s="446"/>
      <c r="M7" s="780" t="s">
        <v>250</v>
      </c>
      <c r="N7" s="686"/>
      <c r="O7" s="686"/>
      <c r="P7" s="686"/>
      <c r="Q7" s="781"/>
      <c r="R7" s="534"/>
      <c r="S7" s="780" t="s">
        <v>251</v>
      </c>
      <c r="T7" s="686"/>
      <c r="U7" s="686"/>
      <c r="V7" s="686"/>
      <c r="W7" s="781"/>
    </row>
    <row r="8" spans="1:23" x14ac:dyDescent="0.25">
      <c r="A8" s="6"/>
      <c r="B8" s="744" t="s">
        <v>41</v>
      </c>
      <c r="C8" s="745"/>
      <c r="D8" s="744" t="s">
        <v>15</v>
      </c>
      <c r="E8" s="746"/>
      <c r="F8" s="102"/>
      <c r="G8" s="7"/>
      <c r="H8" s="747" t="s">
        <v>42</v>
      </c>
      <c r="I8" s="748"/>
      <c r="J8" s="747" t="s">
        <v>15</v>
      </c>
      <c r="K8" s="749"/>
      <c r="L8" s="76"/>
      <c r="M8" s="8"/>
      <c r="N8" s="804" t="s">
        <v>43</v>
      </c>
      <c r="O8" s="805"/>
      <c r="P8" s="804" t="s">
        <v>15</v>
      </c>
      <c r="Q8" s="806"/>
      <c r="R8" s="2"/>
      <c r="S8" s="9"/>
      <c r="T8" s="807" t="s">
        <v>55</v>
      </c>
      <c r="U8" s="808"/>
      <c r="V8" s="807" t="s">
        <v>15</v>
      </c>
      <c r="W8" s="809"/>
    </row>
    <row r="9" spans="1:23" x14ac:dyDescent="0.25">
      <c r="A9" s="10">
        <v>1</v>
      </c>
      <c r="B9" s="731" t="s">
        <v>22</v>
      </c>
      <c r="C9" s="732"/>
      <c r="D9" s="725">
        <f>A76+A80+A84+C65/1000000</f>
        <v>0</v>
      </c>
      <c r="E9" s="726"/>
      <c r="F9" s="103"/>
      <c r="G9" s="11">
        <v>1</v>
      </c>
      <c r="H9" s="727" t="s">
        <v>26</v>
      </c>
      <c r="I9" s="728"/>
      <c r="J9" s="729">
        <f>G76+G80+G84+I65/1000000</f>
        <v>0</v>
      </c>
      <c r="K9" s="730"/>
      <c r="L9" s="76"/>
      <c r="M9" s="12">
        <v>1</v>
      </c>
      <c r="N9" s="800" t="s">
        <v>37</v>
      </c>
      <c r="O9" s="801"/>
      <c r="P9" s="802">
        <f>M76+M80+M84+O65/1000000</f>
        <v>0</v>
      </c>
      <c r="Q9" s="803"/>
      <c r="R9" s="2"/>
      <c r="S9" s="13">
        <v>1</v>
      </c>
      <c r="T9" s="796" t="s">
        <v>56</v>
      </c>
      <c r="U9" s="797"/>
      <c r="V9" s="798">
        <f>S76+S80+S84+U65/1000000</f>
        <v>0</v>
      </c>
      <c r="W9" s="799"/>
    </row>
    <row r="10" spans="1:23" x14ac:dyDescent="0.25">
      <c r="A10" s="10">
        <v>2</v>
      </c>
      <c r="B10" s="731" t="s">
        <v>23</v>
      </c>
      <c r="C10" s="732"/>
      <c r="D10" s="725">
        <f>B76+A81+A85+C66/1000000</f>
        <v>0</v>
      </c>
      <c r="E10" s="726"/>
      <c r="F10" s="103"/>
      <c r="G10" s="11">
        <v>2</v>
      </c>
      <c r="H10" s="727" t="s">
        <v>27</v>
      </c>
      <c r="I10" s="728"/>
      <c r="J10" s="729">
        <f>H76+G81+G85+I66/1000000</f>
        <v>0</v>
      </c>
      <c r="K10" s="730"/>
      <c r="L10" s="76"/>
      <c r="M10" s="12">
        <v>2</v>
      </c>
      <c r="N10" s="800" t="s">
        <v>38</v>
      </c>
      <c r="O10" s="801"/>
      <c r="P10" s="802">
        <f>N76+M81+M85+O66/1000000</f>
        <v>0</v>
      </c>
      <c r="Q10" s="803"/>
      <c r="R10" s="2"/>
      <c r="S10" s="13">
        <v>2</v>
      </c>
      <c r="T10" s="796" t="s">
        <v>57</v>
      </c>
      <c r="U10" s="797"/>
      <c r="V10" s="798">
        <f>T76+S81+S85+U66/1000000</f>
        <v>0</v>
      </c>
      <c r="W10" s="799"/>
    </row>
    <row r="11" spans="1:23" x14ac:dyDescent="0.25">
      <c r="A11" s="10">
        <v>3</v>
      </c>
      <c r="B11" s="731" t="s">
        <v>24</v>
      </c>
      <c r="C11" s="732"/>
      <c r="D11" s="725">
        <f>A77+B80+B85+C67/1000000</f>
        <v>0</v>
      </c>
      <c r="E11" s="726"/>
      <c r="F11" s="103"/>
      <c r="G11" s="11">
        <v>3</v>
      </c>
      <c r="H11" s="727" t="s">
        <v>28</v>
      </c>
      <c r="I11" s="728"/>
      <c r="J11" s="729">
        <f>G77+H80+H85+I67/1000000</f>
        <v>0</v>
      </c>
      <c r="K11" s="730"/>
      <c r="L11" s="76"/>
      <c r="M11" s="12">
        <v>3</v>
      </c>
      <c r="N11" s="800" t="s">
        <v>39</v>
      </c>
      <c r="O11" s="801"/>
      <c r="P11" s="802">
        <f>M77+N80+N85+O67/1000000</f>
        <v>0</v>
      </c>
      <c r="Q11" s="803"/>
      <c r="R11" s="2"/>
      <c r="S11" s="13">
        <v>3</v>
      </c>
      <c r="T11" s="796" t="s">
        <v>58</v>
      </c>
      <c r="U11" s="797"/>
      <c r="V11" s="798">
        <f>S77+T80+T85+U67/1000000</f>
        <v>0</v>
      </c>
      <c r="W11" s="799"/>
    </row>
    <row r="12" spans="1:23" ht="15.75" thickBot="1" x14ac:dyDescent="0.3">
      <c r="A12" s="15">
        <v>4</v>
      </c>
      <c r="B12" s="717" t="s">
        <v>25</v>
      </c>
      <c r="C12" s="718"/>
      <c r="D12" s="719">
        <f>B77+B81+B84+C68/1000000</f>
        <v>0</v>
      </c>
      <c r="E12" s="720"/>
      <c r="F12" s="103"/>
      <c r="G12" s="16">
        <v>4</v>
      </c>
      <c r="H12" s="721" t="s">
        <v>29</v>
      </c>
      <c r="I12" s="722"/>
      <c r="J12" s="723">
        <f>H77+H81+H84+I68/1000000</f>
        <v>0</v>
      </c>
      <c r="K12" s="724"/>
      <c r="L12" s="76"/>
      <c r="M12" s="17">
        <v>4</v>
      </c>
      <c r="N12" s="792" t="s">
        <v>40</v>
      </c>
      <c r="O12" s="793"/>
      <c r="P12" s="794">
        <f>N77+N81+N84+O68/1000000</f>
        <v>0</v>
      </c>
      <c r="Q12" s="795"/>
      <c r="R12" s="2"/>
      <c r="S12" s="18">
        <v>4</v>
      </c>
      <c r="T12" s="788" t="s">
        <v>59</v>
      </c>
      <c r="U12" s="789"/>
      <c r="V12" s="790">
        <f>T77+T81+T84+U68/1000000</f>
        <v>0</v>
      </c>
      <c r="W12" s="791"/>
    </row>
    <row r="13" spans="1:23" ht="5.0999999999999996" customHeight="1" thickBot="1" x14ac:dyDescent="0.3">
      <c r="A13" s="19"/>
      <c r="B13" s="2"/>
      <c r="C13" s="2"/>
      <c r="D13" s="2"/>
      <c r="E13" s="2"/>
      <c r="F13" s="2"/>
      <c r="G13" s="2"/>
      <c r="H13" s="2"/>
      <c r="I13" s="22"/>
      <c r="J13" s="2"/>
      <c r="K13" s="2"/>
      <c r="L13" s="85"/>
      <c r="M13" s="2"/>
      <c r="N13" s="2"/>
      <c r="O13" s="2"/>
      <c r="P13" s="2"/>
      <c r="Q13" s="2"/>
      <c r="R13" s="2"/>
      <c r="S13" s="2"/>
      <c r="T13" s="2"/>
      <c r="U13" s="2"/>
      <c r="V13" s="2"/>
      <c r="W13" s="21"/>
    </row>
    <row r="14" spans="1:23" s="29" customFormat="1" x14ac:dyDescent="0.25">
      <c r="A14" s="24"/>
      <c r="B14" s="713" t="s">
        <v>5</v>
      </c>
      <c r="C14" s="713"/>
      <c r="D14" s="713" t="s">
        <v>16</v>
      </c>
      <c r="E14" s="714"/>
      <c r="F14" s="25"/>
      <c r="G14" s="26"/>
      <c r="H14" s="715" t="s">
        <v>5</v>
      </c>
      <c r="I14" s="715"/>
      <c r="J14" s="715" t="s">
        <v>16</v>
      </c>
      <c r="K14" s="716"/>
      <c r="L14" s="77"/>
      <c r="M14" s="27"/>
      <c r="N14" s="786" t="s">
        <v>5</v>
      </c>
      <c r="O14" s="786"/>
      <c r="P14" s="786" t="s">
        <v>16</v>
      </c>
      <c r="Q14" s="787"/>
      <c r="R14" s="25"/>
      <c r="S14" s="28"/>
      <c r="T14" s="784" t="s">
        <v>5</v>
      </c>
      <c r="U14" s="784"/>
      <c r="V14" s="784" t="s">
        <v>16</v>
      </c>
      <c r="W14" s="785"/>
    </row>
    <row r="15" spans="1:23" x14ac:dyDescent="0.25">
      <c r="A15" s="30">
        <f>E4</f>
        <v>0.375</v>
      </c>
      <c r="B15" s="31" t="str">
        <f>B9</f>
        <v>Equipe 1</v>
      </c>
      <c r="C15" s="31" t="str">
        <f>B10</f>
        <v>Equipe 2</v>
      </c>
      <c r="D15" s="53"/>
      <c r="E15" s="54"/>
      <c r="F15" s="2"/>
      <c r="G15" s="32">
        <f>E4</f>
        <v>0.375</v>
      </c>
      <c r="H15" s="33" t="str">
        <f>H9</f>
        <v>Equipe 5</v>
      </c>
      <c r="I15" s="33" t="str">
        <f>H10</f>
        <v>Equipe 6</v>
      </c>
      <c r="J15" s="57"/>
      <c r="K15" s="58"/>
      <c r="L15" s="76"/>
      <c r="M15" s="34">
        <f>E4</f>
        <v>0.375</v>
      </c>
      <c r="N15" s="35" t="str">
        <f>N9</f>
        <v>Equipe 9</v>
      </c>
      <c r="O15" s="35" t="str">
        <f>N10</f>
        <v>Equipe 10</v>
      </c>
      <c r="P15" s="61"/>
      <c r="Q15" s="62"/>
      <c r="R15" s="2"/>
      <c r="S15" s="36">
        <f>E4</f>
        <v>0.375</v>
      </c>
      <c r="T15" s="37" t="str">
        <f>T9</f>
        <v>Equipe 13</v>
      </c>
      <c r="U15" s="37" t="str">
        <f>T10</f>
        <v>Equipe 14</v>
      </c>
      <c r="V15" s="65"/>
      <c r="W15" s="66"/>
    </row>
    <row r="16" spans="1:23" ht="15.75" thickBot="1" x14ac:dyDescent="0.3">
      <c r="A16" s="38">
        <f>A15+$J$6+R5</f>
        <v>0.38541666666666669</v>
      </c>
      <c r="B16" s="39" t="str">
        <f>B11</f>
        <v>Equipe 3</v>
      </c>
      <c r="C16" s="39" t="str">
        <f>B12</f>
        <v>Equipe 4</v>
      </c>
      <c r="D16" s="55"/>
      <c r="E16" s="56"/>
      <c r="F16" s="2"/>
      <c r="G16" s="40">
        <f>G15+$J$6+R5</f>
        <v>0.38541666666666669</v>
      </c>
      <c r="H16" s="41" t="str">
        <f>H11</f>
        <v>Equipe 7</v>
      </c>
      <c r="I16" s="41" t="str">
        <f>H12</f>
        <v>Equipe 8</v>
      </c>
      <c r="J16" s="59"/>
      <c r="K16" s="60"/>
      <c r="L16" s="76"/>
      <c r="M16" s="42">
        <f>M15+$J$6+R5</f>
        <v>0.38541666666666669</v>
      </c>
      <c r="N16" s="43" t="str">
        <f>N11</f>
        <v>Equipe 11</v>
      </c>
      <c r="O16" s="43" t="str">
        <f>N12</f>
        <v>Equipe 12</v>
      </c>
      <c r="P16" s="63"/>
      <c r="Q16" s="64"/>
      <c r="R16" s="2"/>
      <c r="S16" s="44">
        <f>S15+$J$6+R5</f>
        <v>0.38541666666666669</v>
      </c>
      <c r="T16" s="45" t="str">
        <f>T11</f>
        <v>Equipe 15</v>
      </c>
      <c r="U16" s="45" t="str">
        <f>T12</f>
        <v>Equipe 16</v>
      </c>
      <c r="V16" s="67"/>
      <c r="W16" s="68"/>
    </row>
    <row r="17" spans="1:23" ht="5.0999999999999996" customHeight="1" thickBot="1" x14ac:dyDescent="0.3">
      <c r="A17" s="19"/>
      <c r="B17" s="2"/>
      <c r="C17" s="2"/>
      <c r="D17" s="521"/>
      <c r="E17" s="521"/>
      <c r="F17" s="2"/>
      <c r="G17" s="2"/>
      <c r="H17" s="2"/>
      <c r="I17" s="47"/>
      <c r="J17" s="521"/>
      <c r="K17" s="521"/>
      <c r="L17" s="85"/>
      <c r="M17" s="2"/>
      <c r="N17" s="2"/>
      <c r="O17" s="2"/>
      <c r="P17" s="521"/>
      <c r="Q17" s="521"/>
      <c r="R17" s="2"/>
      <c r="S17" s="2"/>
      <c r="T17" s="2"/>
      <c r="U17" s="2"/>
      <c r="V17" s="521"/>
      <c r="W17" s="522"/>
    </row>
    <row r="18" spans="1:23" s="29" customFormat="1" x14ac:dyDescent="0.25">
      <c r="A18" s="24"/>
      <c r="B18" s="713" t="s">
        <v>6</v>
      </c>
      <c r="C18" s="713"/>
      <c r="D18" s="713" t="s">
        <v>16</v>
      </c>
      <c r="E18" s="714"/>
      <c r="F18" s="25"/>
      <c r="G18" s="26"/>
      <c r="H18" s="715" t="s">
        <v>6</v>
      </c>
      <c r="I18" s="715"/>
      <c r="J18" s="715" t="s">
        <v>16</v>
      </c>
      <c r="K18" s="716"/>
      <c r="L18" s="77"/>
      <c r="M18" s="27"/>
      <c r="N18" s="786" t="s">
        <v>6</v>
      </c>
      <c r="O18" s="786"/>
      <c r="P18" s="786" t="s">
        <v>16</v>
      </c>
      <c r="Q18" s="787"/>
      <c r="R18" s="25"/>
      <c r="S18" s="28"/>
      <c r="T18" s="784" t="s">
        <v>6</v>
      </c>
      <c r="U18" s="784"/>
      <c r="V18" s="784" t="s">
        <v>16</v>
      </c>
      <c r="W18" s="785"/>
    </row>
    <row r="19" spans="1:23" x14ac:dyDescent="0.25">
      <c r="A19" s="30">
        <f>A16+$J$6+R5</f>
        <v>0.39583333333333337</v>
      </c>
      <c r="B19" s="31" t="str">
        <f>B9</f>
        <v>Equipe 1</v>
      </c>
      <c r="C19" s="31" t="str">
        <f>B11</f>
        <v>Equipe 3</v>
      </c>
      <c r="D19" s="53"/>
      <c r="E19" s="54"/>
      <c r="F19" s="2"/>
      <c r="G19" s="32">
        <f>G16+$J$6+R5</f>
        <v>0.39583333333333337</v>
      </c>
      <c r="H19" s="33" t="str">
        <f>H9</f>
        <v>Equipe 5</v>
      </c>
      <c r="I19" s="33" t="str">
        <f>H11</f>
        <v>Equipe 7</v>
      </c>
      <c r="J19" s="57"/>
      <c r="K19" s="58"/>
      <c r="L19" s="76"/>
      <c r="M19" s="34">
        <f>M16+$J$6+R5</f>
        <v>0.39583333333333337</v>
      </c>
      <c r="N19" s="35" t="str">
        <f>N9</f>
        <v>Equipe 9</v>
      </c>
      <c r="O19" s="35" t="str">
        <f>N11</f>
        <v>Equipe 11</v>
      </c>
      <c r="P19" s="61"/>
      <c r="Q19" s="62"/>
      <c r="R19" s="2"/>
      <c r="S19" s="36">
        <f>S16+$J$6+R5</f>
        <v>0.39583333333333337</v>
      </c>
      <c r="T19" s="37" t="str">
        <f>T9</f>
        <v>Equipe 13</v>
      </c>
      <c r="U19" s="37" t="str">
        <f>T11</f>
        <v>Equipe 15</v>
      </c>
      <c r="V19" s="65"/>
      <c r="W19" s="66"/>
    </row>
    <row r="20" spans="1:23" ht="15.75" thickBot="1" x14ac:dyDescent="0.3">
      <c r="A20" s="38">
        <f>A19+$J$6+R5</f>
        <v>0.40625000000000006</v>
      </c>
      <c r="B20" s="39" t="str">
        <f>B10</f>
        <v>Equipe 2</v>
      </c>
      <c r="C20" s="39" t="str">
        <f>B12</f>
        <v>Equipe 4</v>
      </c>
      <c r="D20" s="55"/>
      <c r="E20" s="56"/>
      <c r="F20" s="2"/>
      <c r="G20" s="40">
        <f>G19+$J$6+R5</f>
        <v>0.40625000000000006</v>
      </c>
      <c r="H20" s="41" t="str">
        <f>H10</f>
        <v>Equipe 6</v>
      </c>
      <c r="I20" s="41" t="str">
        <f>H12</f>
        <v>Equipe 8</v>
      </c>
      <c r="J20" s="59"/>
      <c r="K20" s="60"/>
      <c r="L20" s="76"/>
      <c r="M20" s="42">
        <f>M19+$J$6+R5</f>
        <v>0.40625000000000006</v>
      </c>
      <c r="N20" s="43" t="str">
        <f>N10</f>
        <v>Equipe 10</v>
      </c>
      <c r="O20" s="43" t="str">
        <f>N12</f>
        <v>Equipe 12</v>
      </c>
      <c r="P20" s="63"/>
      <c r="Q20" s="64"/>
      <c r="R20" s="2"/>
      <c r="S20" s="44">
        <f>S19+$J$6+R5</f>
        <v>0.40625000000000006</v>
      </c>
      <c r="T20" s="45" t="str">
        <f>T10</f>
        <v>Equipe 14</v>
      </c>
      <c r="U20" s="45" t="str">
        <f>T12</f>
        <v>Equipe 16</v>
      </c>
      <c r="V20" s="67"/>
      <c r="W20" s="68"/>
    </row>
    <row r="21" spans="1:23" ht="5.0999999999999996" customHeight="1" thickBot="1" x14ac:dyDescent="0.3">
      <c r="A21" s="19"/>
      <c r="B21" s="2"/>
      <c r="C21" s="2"/>
      <c r="D21" s="521"/>
      <c r="E21" s="521"/>
      <c r="F21" s="2"/>
      <c r="G21" s="2"/>
      <c r="H21" s="2"/>
      <c r="I21" s="47"/>
      <c r="J21" s="521"/>
      <c r="K21" s="521"/>
      <c r="L21" s="85"/>
      <c r="M21" s="2"/>
      <c r="N21" s="2"/>
      <c r="O21" s="2"/>
      <c r="P21" s="521"/>
      <c r="Q21" s="521"/>
      <c r="R21" s="2"/>
      <c r="S21" s="2"/>
      <c r="T21" s="2"/>
      <c r="U21" s="2"/>
      <c r="V21" s="521"/>
      <c r="W21" s="522"/>
    </row>
    <row r="22" spans="1:23" s="29" customFormat="1" x14ac:dyDescent="0.25">
      <c r="A22" s="24"/>
      <c r="B22" s="713" t="s">
        <v>7</v>
      </c>
      <c r="C22" s="713"/>
      <c r="D22" s="713" t="s">
        <v>16</v>
      </c>
      <c r="E22" s="714"/>
      <c r="F22" s="25"/>
      <c r="G22" s="26"/>
      <c r="H22" s="715" t="s">
        <v>7</v>
      </c>
      <c r="I22" s="715"/>
      <c r="J22" s="715" t="s">
        <v>16</v>
      </c>
      <c r="K22" s="716"/>
      <c r="L22" s="77"/>
      <c r="M22" s="27"/>
      <c r="N22" s="786" t="s">
        <v>7</v>
      </c>
      <c r="O22" s="786"/>
      <c r="P22" s="786" t="s">
        <v>16</v>
      </c>
      <c r="Q22" s="787"/>
      <c r="R22" s="25"/>
      <c r="S22" s="28"/>
      <c r="T22" s="784" t="s">
        <v>7</v>
      </c>
      <c r="U22" s="784"/>
      <c r="V22" s="784" t="s">
        <v>16</v>
      </c>
      <c r="W22" s="785"/>
    </row>
    <row r="23" spans="1:23" x14ac:dyDescent="0.25">
      <c r="A23" s="30">
        <f>A20+$J$6+R5</f>
        <v>0.41666666666666674</v>
      </c>
      <c r="B23" s="31" t="str">
        <f>B9</f>
        <v>Equipe 1</v>
      </c>
      <c r="C23" s="31" t="str">
        <f>B12</f>
        <v>Equipe 4</v>
      </c>
      <c r="D23" s="53"/>
      <c r="E23" s="54"/>
      <c r="F23" s="2"/>
      <c r="G23" s="32">
        <f>G20+$J$6+R5</f>
        <v>0.41666666666666674</v>
      </c>
      <c r="H23" s="33" t="str">
        <f>H9</f>
        <v>Equipe 5</v>
      </c>
      <c r="I23" s="33" t="str">
        <f>H12</f>
        <v>Equipe 8</v>
      </c>
      <c r="J23" s="57"/>
      <c r="K23" s="58"/>
      <c r="L23" s="76"/>
      <c r="M23" s="34">
        <f>M20+$J$6+R5</f>
        <v>0.41666666666666674</v>
      </c>
      <c r="N23" s="35" t="str">
        <f>N9</f>
        <v>Equipe 9</v>
      </c>
      <c r="O23" s="35" t="str">
        <f>N12</f>
        <v>Equipe 12</v>
      </c>
      <c r="P23" s="61"/>
      <c r="Q23" s="62"/>
      <c r="R23" s="2"/>
      <c r="S23" s="36">
        <f>S20+$J$6+R5</f>
        <v>0.41666666666666674</v>
      </c>
      <c r="T23" s="37" t="str">
        <f>T9</f>
        <v>Equipe 13</v>
      </c>
      <c r="U23" s="37" t="str">
        <f>T12</f>
        <v>Equipe 16</v>
      </c>
      <c r="V23" s="65"/>
      <c r="W23" s="66"/>
    </row>
    <row r="24" spans="1:23" ht="15.75" thickBot="1" x14ac:dyDescent="0.3">
      <c r="A24" s="38">
        <f>A23+$J$6+R5</f>
        <v>0.42708333333333343</v>
      </c>
      <c r="B24" s="39" t="str">
        <f>B10</f>
        <v>Equipe 2</v>
      </c>
      <c r="C24" s="39" t="str">
        <f>B11</f>
        <v>Equipe 3</v>
      </c>
      <c r="D24" s="55"/>
      <c r="E24" s="56"/>
      <c r="F24" s="47"/>
      <c r="G24" s="40">
        <f>G23+$J$6+R5</f>
        <v>0.42708333333333343</v>
      </c>
      <c r="H24" s="41" t="str">
        <f>H10</f>
        <v>Equipe 6</v>
      </c>
      <c r="I24" s="41" t="str">
        <f>H11</f>
        <v>Equipe 7</v>
      </c>
      <c r="J24" s="59"/>
      <c r="K24" s="60"/>
      <c r="L24" s="78"/>
      <c r="M24" s="42">
        <f>M23+$J$6+R5</f>
        <v>0.42708333333333343</v>
      </c>
      <c r="N24" s="43" t="str">
        <f>N10</f>
        <v>Equipe 10</v>
      </c>
      <c r="O24" s="43" t="str">
        <f>N11</f>
        <v>Equipe 11</v>
      </c>
      <c r="P24" s="63"/>
      <c r="Q24" s="64"/>
      <c r="R24" s="47"/>
      <c r="S24" s="44">
        <f>S23+$J$6+R5</f>
        <v>0.42708333333333343</v>
      </c>
      <c r="T24" s="45" t="str">
        <f>T10</f>
        <v>Equipe 14</v>
      </c>
      <c r="U24" s="45" t="str">
        <f>T11</f>
        <v>Equipe 15</v>
      </c>
      <c r="V24" s="67"/>
      <c r="W24" s="68"/>
    </row>
    <row r="25" spans="1:23" ht="5.0999999999999996" customHeight="1" thickBot="1" x14ac:dyDescent="0.3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73"/>
      <c r="L25" s="89"/>
      <c r="M25" s="120"/>
      <c r="N25" s="119"/>
      <c r="O25" s="119"/>
      <c r="P25" s="173"/>
      <c r="Q25" s="173"/>
      <c r="R25" s="89"/>
      <c r="S25" s="532"/>
      <c r="T25" s="530"/>
      <c r="U25" s="530"/>
      <c r="V25" s="116"/>
      <c r="W25" s="117"/>
    </row>
    <row r="26" spans="1:23" ht="16.5" thickBot="1" x14ac:dyDescent="0.3">
      <c r="A26" s="783" t="s">
        <v>60</v>
      </c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3"/>
    </row>
    <row r="27" spans="1:23" x14ac:dyDescent="0.25">
      <c r="A27" s="81" t="s">
        <v>21</v>
      </c>
      <c r="B27" s="711" t="s">
        <v>41</v>
      </c>
      <c r="C27" s="711"/>
      <c r="D27" s="711" t="s">
        <v>15</v>
      </c>
      <c r="E27" s="712"/>
      <c r="F27" s="122"/>
      <c r="G27" s="81" t="s">
        <v>21</v>
      </c>
      <c r="H27" s="711" t="s">
        <v>42</v>
      </c>
      <c r="I27" s="711"/>
      <c r="J27" s="711" t="s">
        <v>15</v>
      </c>
      <c r="K27" s="712"/>
      <c r="L27" s="75"/>
      <c r="M27" s="81" t="s">
        <v>21</v>
      </c>
      <c r="N27" s="711" t="s">
        <v>43</v>
      </c>
      <c r="O27" s="711"/>
      <c r="P27" s="711" t="s">
        <v>15</v>
      </c>
      <c r="Q27" s="712"/>
      <c r="R27" s="122"/>
      <c r="S27" s="81" t="s">
        <v>21</v>
      </c>
      <c r="T27" s="711" t="s">
        <v>55</v>
      </c>
      <c r="U27" s="711"/>
      <c r="V27" s="711" t="s">
        <v>15</v>
      </c>
      <c r="W27" s="712"/>
    </row>
    <row r="28" spans="1:23" x14ac:dyDescent="0.25">
      <c r="A28" s="49">
        <v>1</v>
      </c>
      <c r="B28" s="680" t="str">
        <f>VLOOKUP($A28,$A$65:$D$68,2,FALSE)</f>
        <v>Equipe 1</v>
      </c>
      <c r="C28" s="680"/>
      <c r="D28" s="683">
        <f>VLOOKUP($A28,$A$65:$D$68,4,FALSE)</f>
        <v>3.9999999999999998E-7</v>
      </c>
      <c r="E28" s="684"/>
      <c r="F28" s="105"/>
      <c r="G28" s="49">
        <v>1</v>
      </c>
      <c r="H28" s="680" t="str">
        <f>VLOOKUP($G28,$G$65:$J$68,2,FALSE)</f>
        <v>Equipe 5</v>
      </c>
      <c r="I28" s="680"/>
      <c r="J28" s="681">
        <f>VLOOKUP($G28,$G$65:$J$68,4,FALSE)</f>
        <v>3.9999999999999998E-7</v>
      </c>
      <c r="K28" s="682"/>
      <c r="L28" s="76"/>
      <c r="M28" s="49">
        <v>1</v>
      </c>
      <c r="N28" s="680" t="str">
        <f>VLOOKUP($M28,$M$65:$P$68,2,FALSE)</f>
        <v>Equipe 9</v>
      </c>
      <c r="O28" s="680"/>
      <c r="P28" s="681">
        <f>VLOOKUP($M28,$M$65:$P$68,4,FALSE)</f>
        <v>3.9999999999999998E-7</v>
      </c>
      <c r="Q28" s="682"/>
      <c r="R28" s="105"/>
      <c r="S28" s="49">
        <v>1</v>
      </c>
      <c r="T28" s="680" t="str">
        <f>VLOOKUP($S28,$S$65:$V$68,2,FALSE)</f>
        <v>Equipe 13</v>
      </c>
      <c r="U28" s="680"/>
      <c r="V28" s="681">
        <f>VLOOKUP($S28,$S$65:$V$68,4,FALSE)</f>
        <v>3.9999999999999998E-7</v>
      </c>
      <c r="W28" s="682"/>
    </row>
    <row r="29" spans="1:23" x14ac:dyDescent="0.25">
      <c r="A29" s="49">
        <v>2</v>
      </c>
      <c r="B29" s="680" t="str">
        <f>VLOOKUP($A29,$A$65:$D$68,2,FALSE)</f>
        <v>Equipe 2</v>
      </c>
      <c r="C29" s="680"/>
      <c r="D29" s="683">
        <f>VLOOKUP($A29,$A$65:$D$68,4,FALSE)</f>
        <v>2.9999999999999999E-7</v>
      </c>
      <c r="E29" s="684"/>
      <c r="F29" s="105"/>
      <c r="G29" s="49">
        <v>2</v>
      </c>
      <c r="H29" s="680" t="str">
        <f>VLOOKUP($G29,$G$65:$J$68,2,FALSE)</f>
        <v>Equipe 6</v>
      </c>
      <c r="I29" s="680"/>
      <c r="J29" s="681">
        <f>VLOOKUP($G29,$G$65:$J$68,4,FALSE)</f>
        <v>2.9999999999999999E-7</v>
      </c>
      <c r="K29" s="682"/>
      <c r="L29" s="76"/>
      <c r="M29" s="49">
        <v>2</v>
      </c>
      <c r="N29" s="680" t="str">
        <f>VLOOKUP($M29,$M$65:$P$68,2,FALSE)</f>
        <v>Equipe 10</v>
      </c>
      <c r="O29" s="680"/>
      <c r="P29" s="681">
        <f>VLOOKUP($M29,$M$65:$P$68,4,FALSE)</f>
        <v>2.9999999999999999E-7</v>
      </c>
      <c r="Q29" s="682"/>
      <c r="R29" s="105"/>
      <c r="S29" s="49">
        <v>2</v>
      </c>
      <c r="T29" s="680" t="str">
        <f>VLOOKUP($S29,$S$65:$V$68,2,FALSE)</f>
        <v>Equipe 14</v>
      </c>
      <c r="U29" s="680"/>
      <c r="V29" s="681">
        <f>VLOOKUP($S29,$S$65:$V$68,4,FALSE)</f>
        <v>2.9999999999999999E-7</v>
      </c>
      <c r="W29" s="682"/>
    </row>
    <row r="30" spans="1:23" x14ac:dyDescent="0.25">
      <c r="A30" s="49">
        <v>3</v>
      </c>
      <c r="B30" s="680" t="str">
        <f>VLOOKUP($A30,$A$65:$D$68,2,FALSE)</f>
        <v>Equipe 3</v>
      </c>
      <c r="C30" s="680"/>
      <c r="D30" s="683">
        <f>VLOOKUP($A30,$A$65:$D$68,4,FALSE)</f>
        <v>1.9999999999999999E-7</v>
      </c>
      <c r="E30" s="684"/>
      <c r="F30" s="105"/>
      <c r="G30" s="49">
        <v>3</v>
      </c>
      <c r="H30" s="680" t="str">
        <f>VLOOKUP($G30,$G$65:$J$68,2,FALSE)</f>
        <v>Equipe 7</v>
      </c>
      <c r="I30" s="680"/>
      <c r="J30" s="681">
        <f>VLOOKUP($G30,$G$65:$J$68,4,FALSE)</f>
        <v>1.9999999999999999E-7</v>
      </c>
      <c r="K30" s="682"/>
      <c r="L30" s="76"/>
      <c r="M30" s="49">
        <v>3</v>
      </c>
      <c r="N30" s="680" t="str">
        <f>VLOOKUP($M30,$M$65:$P$68,2,FALSE)</f>
        <v>Equipe 11</v>
      </c>
      <c r="O30" s="680"/>
      <c r="P30" s="681">
        <f>VLOOKUP($M30,$M$65:$P$68,4,FALSE)</f>
        <v>1.9999999999999999E-7</v>
      </c>
      <c r="Q30" s="682"/>
      <c r="R30" s="105"/>
      <c r="S30" s="49">
        <v>3</v>
      </c>
      <c r="T30" s="680" t="str">
        <f>VLOOKUP($S30,$S$65:$V$68,2,FALSE)</f>
        <v>Equipe 15</v>
      </c>
      <c r="U30" s="680"/>
      <c r="V30" s="681">
        <f>VLOOKUP($S30,$S$65:$V$68,4,FALSE)</f>
        <v>1.9999999999999999E-7</v>
      </c>
      <c r="W30" s="682"/>
    </row>
    <row r="31" spans="1:23" ht="15.75" thickBot="1" x14ac:dyDescent="0.3">
      <c r="A31" s="50">
        <v>4</v>
      </c>
      <c r="B31" s="706" t="str">
        <f>VLOOKUP($A31,$A$65:$D$68,2,FALSE)</f>
        <v>Equipe 4</v>
      </c>
      <c r="C31" s="706"/>
      <c r="D31" s="707">
        <f>VLOOKUP($A31,$A$65:$D$68,4,FALSE)</f>
        <v>9.9999999999999995E-8</v>
      </c>
      <c r="E31" s="708"/>
      <c r="F31" s="123"/>
      <c r="G31" s="50">
        <v>4</v>
      </c>
      <c r="H31" s="706" t="str">
        <f>VLOOKUP($G31,$G$65:$J$68,2,FALSE)</f>
        <v>Equipe 8</v>
      </c>
      <c r="I31" s="706"/>
      <c r="J31" s="709">
        <f>VLOOKUP($G31,$G$65:$J$68,4,FALSE)</f>
        <v>9.9999999999999995E-8</v>
      </c>
      <c r="K31" s="710"/>
      <c r="L31" s="78"/>
      <c r="M31" s="50">
        <v>4</v>
      </c>
      <c r="N31" s="706" t="str">
        <f>VLOOKUP($M31,$M$65:$P$68,2,FALSE)</f>
        <v>Equipe 12</v>
      </c>
      <c r="O31" s="706"/>
      <c r="P31" s="709">
        <f>VLOOKUP($M31,$M$65:$P$68,4,FALSE)</f>
        <v>9.9999999999999995E-8</v>
      </c>
      <c r="Q31" s="710"/>
      <c r="R31" s="123"/>
      <c r="S31" s="50">
        <v>4</v>
      </c>
      <c r="T31" s="706" t="str">
        <f>VLOOKUP($S31,$S$65:$V$68,2,FALSE)</f>
        <v>Equipe 16</v>
      </c>
      <c r="U31" s="706"/>
      <c r="V31" s="709">
        <f>VLOOKUP($S31,$S$65:$V$68,4,FALSE)</f>
        <v>9.9999999999999995E-8</v>
      </c>
      <c r="W31" s="710"/>
    </row>
    <row r="32" spans="1:23" ht="15.75" thickBot="1" x14ac:dyDescent="0.3">
      <c r="A32" s="703" t="s">
        <v>34</v>
      </c>
      <c r="B32" s="704"/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5"/>
    </row>
    <row r="33" spans="1:24" ht="24.95" customHeight="1" thickBot="1" x14ac:dyDescent="0.3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4"/>
    </row>
    <row r="34" spans="1:24" ht="16.350000000000001" customHeight="1" thickBot="1" x14ac:dyDescent="0.3">
      <c r="A34" s="701" t="s">
        <v>221</v>
      </c>
      <c r="B34" s="685"/>
      <c r="C34" s="685"/>
      <c r="D34" s="685"/>
      <c r="E34" s="685"/>
      <c r="F34" s="685"/>
      <c r="G34" s="685"/>
      <c r="H34" s="685"/>
      <c r="I34" s="520" t="s">
        <v>18</v>
      </c>
      <c r="J34" s="782">
        <v>8.3333333333333332E-3</v>
      </c>
      <c r="K34" s="782"/>
      <c r="L34" s="782"/>
      <c r="M34" s="527" t="s">
        <v>17</v>
      </c>
      <c r="N34" s="520"/>
      <c r="O34" s="686"/>
      <c r="P34" s="686"/>
      <c r="Q34" s="686"/>
      <c r="R34" s="686"/>
      <c r="S34" s="686"/>
      <c r="T34" s="686"/>
      <c r="U34" s="686"/>
      <c r="V34" s="686"/>
      <c r="W34" s="781"/>
      <c r="X34" s="74"/>
    </row>
    <row r="35" spans="1:24" ht="16.5" thickBot="1" x14ac:dyDescent="0.3">
      <c r="A35" s="780" t="s">
        <v>87</v>
      </c>
      <c r="B35" s="686"/>
      <c r="C35" s="686"/>
      <c r="D35" s="686"/>
      <c r="E35" s="781"/>
      <c r="F35" s="139"/>
      <c r="G35" s="780" t="s">
        <v>88</v>
      </c>
      <c r="H35" s="686"/>
      <c r="I35" s="686"/>
      <c r="J35" s="686"/>
      <c r="K35" s="781"/>
      <c r="L35" s="446"/>
      <c r="M35" s="780" t="s">
        <v>250</v>
      </c>
      <c r="N35" s="686"/>
      <c r="O35" s="686"/>
      <c r="P35" s="686"/>
      <c r="Q35" s="781"/>
      <c r="R35" s="534"/>
      <c r="S35" s="780" t="s">
        <v>251</v>
      </c>
      <c r="T35" s="686"/>
      <c r="U35" s="686"/>
      <c r="V35" s="686"/>
      <c r="W35" s="781"/>
    </row>
    <row r="36" spans="1:24" ht="14.45" customHeight="1" x14ac:dyDescent="0.25">
      <c r="A36" s="125"/>
      <c r="B36" s="912" t="s">
        <v>41</v>
      </c>
      <c r="C36" s="935"/>
      <c r="D36" s="912" t="s">
        <v>15</v>
      </c>
      <c r="E36" s="914"/>
      <c r="F36" s="102"/>
      <c r="G36" s="124"/>
      <c r="H36" s="915" t="s">
        <v>42</v>
      </c>
      <c r="I36" s="936"/>
      <c r="J36" s="915" t="s">
        <v>15</v>
      </c>
      <c r="K36" s="917"/>
      <c r="L36" s="76"/>
      <c r="M36" s="97"/>
      <c r="N36" s="852" t="s">
        <v>43</v>
      </c>
      <c r="O36" s="937"/>
      <c r="P36" s="852" t="s">
        <v>15</v>
      </c>
      <c r="Q36" s="853"/>
      <c r="R36" s="2"/>
      <c r="S36" s="83"/>
      <c r="T36" s="850" t="s">
        <v>55</v>
      </c>
      <c r="U36" s="938"/>
      <c r="V36" s="850" t="s">
        <v>15</v>
      </c>
      <c r="W36" s="851"/>
    </row>
    <row r="37" spans="1:24" ht="14.45" customHeight="1" x14ac:dyDescent="0.25">
      <c r="A37" s="10">
        <v>1</v>
      </c>
      <c r="B37" s="905" t="str">
        <f>IF($D$15="","4eme A",B31)</f>
        <v>4eme A</v>
      </c>
      <c r="C37" s="933"/>
      <c r="D37" s="725">
        <f>A102+A106+A110+C91/1000000</f>
        <v>0</v>
      </c>
      <c r="E37" s="726"/>
      <c r="F37" s="103"/>
      <c r="G37" s="11">
        <v>1</v>
      </c>
      <c r="H37" s="907" t="str">
        <f>IF($D$15="","3eme A",B30)</f>
        <v>3eme A</v>
      </c>
      <c r="I37" s="934"/>
      <c r="J37" s="729">
        <f>G102+G106+G110+I91/1000000</f>
        <v>0</v>
      </c>
      <c r="K37" s="730"/>
      <c r="L37" s="76"/>
      <c r="M37" s="12">
        <v>1</v>
      </c>
      <c r="N37" s="844" t="str">
        <f>IF($D$15="","2eme A",B29)</f>
        <v>2eme A</v>
      </c>
      <c r="O37" s="845"/>
      <c r="P37" s="802">
        <f>M102+M106+M110+O91/1000000</f>
        <v>0</v>
      </c>
      <c r="Q37" s="803"/>
      <c r="R37" s="2"/>
      <c r="S37" s="13">
        <v>1</v>
      </c>
      <c r="T37" s="835" t="str">
        <f>IF($D$15="","1er A",B28)</f>
        <v>1er A</v>
      </c>
      <c r="U37" s="836"/>
      <c r="V37" s="798">
        <f>S102+S106+S110+U91/1000000</f>
        <v>0</v>
      </c>
      <c r="W37" s="799"/>
    </row>
    <row r="38" spans="1:24" ht="14.45" customHeight="1" x14ac:dyDescent="0.25">
      <c r="A38" s="10">
        <v>2</v>
      </c>
      <c r="B38" s="905" t="str">
        <f>IF($D$15="","4eme B",H31)</f>
        <v>4eme B</v>
      </c>
      <c r="C38" s="933"/>
      <c r="D38" s="725">
        <f>B102+A107+A111+C92/1000000</f>
        <v>0</v>
      </c>
      <c r="E38" s="726"/>
      <c r="F38" s="103"/>
      <c r="G38" s="11">
        <v>2</v>
      </c>
      <c r="H38" s="907" t="str">
        <f>IF($D$15="","3eme B",H30)</f>
        <v>3eme B</v>
      </c>
      <c r="I38" s="934"/>
      <c r="J38" s="729">
        <f>H102+G107+G111+I92/1000000</f>
        <v>0</v>
      </c>
      <c r="K38" s="730"/>
      <c r="L38" s="76"/>
      <c r="M38" s="12">
        <v>2</v>
      </c>
      <c r="N38" s="844" t="str">
        <f>IF($D$15="","2eme B",H29)</f>
        <v>2eme B</v>
      </c>
      <c r="O38" s="845"/>
      <c r="P38" s="802">
        <f>N102+M107+M111+O92/1000000</f>
        <v>0</v>
      </c>
      <c r="Q38" s="803"/>
      <c r="R38" s="2"/>
      <c r="S38" s="13">
        <v>2</v>
      </c>
      <c r="T38" s="835" t="str">
        <f>IF($D$15="","1er B",H28)</f>
        <v>1er B</v>
      </c>
      <c r="U38" s="836"/>
      <c r="V38" s="798">
        <f>T102+S107+S111+U92/1000000</f>
        <v>0</v>
      </c>
      <c r="W38" s="799"/>
    </row>
    <row r="39" spans="1:24" ht="14.45" customHeight="1" x14ac:dyDescent="0.25">
      <c r="A39" s="10">
        <v>3</v>
      </c>
      <c r="B39" s="905" t="str">
        <f>IF($D$15="","3eme C",N30)</f>
        <v>3eme C</v>
      </c>
      <c r="C39" s="933"/>
      <c r="D39" s="725">
        <f>A103+B106+B111+C93/1000000</f>
        <v>0</v>
      </c>
      <c r="E39" s="726"/>
      <c r="F39" s="103"/>
      <c r="G39" s="11">
        <v>3</v>
      </c>
      <c r="H39" s="907" t="str">
        <f>IF($D$15="","4eme C",N31)</f>
        <v>4eme C</v>
      </c>
      <c r="I39" s="934"/>
      <c r="J39" s="729">
        <f>G103+H106+H111+I93/1000000</f>
        <v>0</v>
      </c>
      <c r="K39" s="730"/>
      <c r="L39" s="76"/>
      <c r="M39" s="12">
        <v>3</v>
      </c>
      <c r="N39" s="844" t="str">
        <f>IF($D$15="","1er C",N28)</f>
        <v>1er C</v>
      </c>
      <c r="O39" s="845"/>
      <c r="P39" s="802">
        <f>M103+N106+N111+O93/1000000</f>
        <v>0</v>
      </c>
      <c r="Q39" s="803"/>
      <c r="R39" s="2"/>
      <c r="S39" s="13">
        <v>3</v>
      </c>
      <c r="T39" s="835" t="str">
        <f>IF($D$15="","2eme C",N29)</f>
        <v>2eme C</v>
      </c>
      <c r="U39" s="836"/>
      <c r="V39" s="798">
        <f>S103+T106+T111+U93/1000000</f>
        <v>0</v>
      </c>
      <c r="W39" s="799"/>
    </row>
    <row r="40" spans="1:24" ht="14.45" customHeight="1" thickBot="1" x14ac:dyDescent="0.3">
      <c r="A40" s="15">
        <v>4</v>
      </c>
      <c r="B40" s="901" t="str">
        <f>IF($D$15="","3eme D",T30)</f>
        <v>3eme D</v>
      </c>
      <c r="C40" s="939"/>
      <c r="D40" s="719">
        <f>B103+B107+B110+C94/1000000</f>
        <v>0</v>
      </c>
      <c r="E40" s="720"/>
      <c r="F40" s="103"/>
      <c r="G40" s="16">
        <v>4</v>
      </c>
      <c r="H40" s="903" t="str">
        <f>IF($D$15="","4eme D",T31)</f>
        <v>4eme D</v>
      </c>
      <c r="I40" s="940"/>
      <c r="J40" s="723">
        <f>H103+H107+H110+I94/1000000</f>
        <v>0</v>
      </c>
      <c r="K40" s="724"/>
      <c r="L40" s="76"/>
      <c r="M40" s="17">
        <v>4</v>
      </c>
      <c r="N40" s="846" t="str">
        <f>IF($D$15="","1er D",T28)</f>
        <v>1er D</v>
      </c>
      <c r="O40" s="847"/>
      <c r="P40" s="794">
        <f>N103+N107+N110+O94/1000000</f>
        <v>0</v>
      </c>
      <c r="Q40" s="795"/>
      <c r="R40" s="2"/>
      <c r="S40" s="18">
        <v>4</v>
      </c>
      <c r="T40" s="837" t="str">
        <f>IF($D$15="","2eme D",T29)</f>
        <v>2eme D</v>
      </c>
      <c r="U40" s="838"/>
      <c r="V40" s="790">
        <f>T103+T107+T110+U94/1000000</f>
        <v>0</v>
      </c>
      <c r="W40" s="791"/>
    </row>
    <row r="41" spans="1:24" s="29" customFormat="1" ht="5.0999999999999996" customHeight="1" thickBot="1" x14ac:dyDescent="0.3">
      <c r="A41" s="19"/>
      <c r="B41" s="2"/>
      <c r="C41" s="2"/>
      <c r="D41" s="2"/>
      <c r="E41" s="2"/>
      <c r="F41" s="2"/>
      <c r="G41" s="2"/>
      <c r="H41" s="2"/>
      <c r="I41" s="2"/>
      <c r="J41" s="2"/>
      <c r="K41" s="2"/>
      <c r="L41" s="85"/>
      <c r="M41" s="2"/>
      <c r="N41" s="2"/>
      <c r="O41" s="2"/>
      <c r="P41" s="2"/>
      <c r="Q41" s="2"/>
      <c r="R41" s="2"/>
      <c r="S41" s="2"/>
      <c r="T41" s="2"/>
      <c r="U41" s="2"/>
      <c r="V41" s="2"/>
      <c r="W41" s="21"/>
    </row>
    <row r="42" spans="1:24" ht="14.45" customHeight="1" x14ac:dyDescent="0.25">
      <c r="A42" s="24"/>
      <c r="B42" s="713" t="s">
        <v>10</v>
      </c>
      <c r="C42" s="713"/>
      <c r="D42" s="713" t="s">
        <v>16</v>
      </c>
      <c r="E42" s="714"/>
      <c r="F42" s="25"/>
      <c r="G42" s="26"/>
      <c r="H42" s="715" t="s">
        <v>10</v>
      </c>
      <c r="I42" s="715"/>
      <c r="J42" s="715" t="s">
        <v>16</v>
      </c>
      <c r="K42" s="716"/>
      <c r="L42" s="77"/>
      <c r="M42" s="27"/>
      <c r="N42" s="786" t="s">
        <v>10</v>
      </c>
      <c r="O42" s="786"/>
      <c r="P42" s="786" t="s">
        <v>16</v>
      </c>
      <c r="Q42" s="787"/>
      <c r="R42" s="25"/>
      <c r="S42" s="28"/>
      <c r="T42" s="784" t="s">
        <v>10</v>
      </c>
      <c r="U42" s="784"/>
      <c r="V42" s="784" t="s">
        <v>16</v>
      </c>
      <c r="W42" s="785"/>
    </row>
    <row r="43" spans="1:24" ht="14.45" customHeight="1" x14ac:dyDescent="0.25">
      <c r="A43" s="30">
        <f>A24+J6+R5+L5</f>
        <v>0.45138888888888901</v>
      </c>
      <c r="B43" s="31" t="str">
        <f>B37</f>
        <v>4eme A</v>
      </c>
      <c r="C43" s="31" t="str">
        <f>B38</f>
        <v>4eme B</v>
      </c>
      <c r="D43" s="53"/>
      <c r="E43" s="54"/>
      <c r="F43" s="2"/>
      <c r="G43" s="32">
        <f>G24+$J$34+R5</f>
        <v>0.43750000000000011</v>
      </c>
      <c r="H43" s="33" t="str">
        <f>H37</f>
        <v>3eme A</v>
      </c>
      <c r="I43" s="33" t="str">
        <f>H38</f>
        <v>3eme B</v>
      </c>
      <c r="J43" s="57"/>
      <c r="K43" s="58"/>
      <c r="L43" s="76"/>
      <c r="M43" s="34">
        <f>M24+$J$34+R5</f>
        <v>0.43750000000000011</v>
      </c>
      <c r="N43" s="35" t="str">
        <f>N37</f>
        <v>2eme A</v>
      </c>
      <c r="O43" s="35" t="str">
        <f>N38</f>
        <v>2eme B</v>
      </c>
      <c r="P43" s="61"/>
      <c r="Q43" s="62"/>
      <c r="R43" s="2"/>
      <c r="S43" s="36">
        <f>S24+$J$34+R5</f>
        <v>0.43750000000000011</v>
      </c>
      <c r="T43" s="37" t="str">
        <f>T37</f>
        <v>1er A</v>
      </c>
      <c r="U43" s="37" t="str">
        <f>T38</f>
        <v>1er B</v>
      </c>
      <c r="V43" s="65"/>
      <c r="W43" s="66"/>
    </row>
    <row r="44" spans="1:24" ht="14.45" customHeight="1" thickBot="1" x14ac:dyDescent="0.3">
      <c r="A44" s="38">
        <f>A43+$J$34+R5</f>
        <v>0.46180555555555569</v>
      </c>
      <c r="B44" s="39" t="str">
        <f>B39</f>
        <v>3eme C</v>
      </c>
      <c r="C44" s="39" t="str">
        <f>B40</f>
        <v>3eme D</v>
      </c>
      <c r="D44" s="55"/>
      <c r="E44" s="56"/>
      <c r="F44" s="2"/>
      <c r="G44" s="40">
        <f>G43+$J$34+R5</f>
        <v>0.4479166666666668</v>
      </c>
      <c r="H44" s="41" t="str">
        <f>H39</f>
        <v>4eme C</v>
      </c>
      <c r="I44" s="41" t="str">
        <f>H40</f>
        <v>4eme D</v>
      </c>
      <c r="J44" s="59"/>
      <c r="K44" s="60"/>
      <c r="L44" s="76"/>
      <c r="M44" s="42">
        <f>M43+$J$34+R5</f>
        <v>0.4479166666666668</v>
      </c>
      <c r="N44" s="43" t="str">
        <f>N39</f>
        <v>1er C</v>
      </c>
      <c r="O44" s="43" t="str">
        <f>N40</f>
        <v>1er D</v>
      </c>
      <c r="P44" s="63"/>
      <c r="Q44" s="64"/>
      <c r="R44" s="2"/>
      <c r="S44" s="44">
        <f>S43+$J$34+R5</f>
        <v>0.4479166666666668</v>
      </c>
      <c r="T44" s="45" t="str">
        <f>T39</f>
        <v>2eme C</v>
      </c>
      <c r="U44" s="45" t="str">
        <f>T40</f>
        <v>2eme D</v>
      </c>
      <c r="V44" s="67"/>
      <c r="W44" s="68"/>
    </row>
    <row r="45" spans="1:24" ht="5.0999999999999996" customHeight="1" thickBot="1" x14ac:dyDescent="0.3">
      <c r="A45" s="19"/>
      <c r="B45" s="2"/>
      <c r="C45" s="2"/>
      <c r="D45" s="521"/>
      <c r="E45" s="521"/>
      <c r="F45" s="2"/>
      <c r="G45" s="2"/>
      <c r="H45" s="2"/>
      <c r="I45" s="47"/>
      <c r="J45" s="521"/>
      <c r="K45" s="521"/>
      <c r="L45" s="85"/>
      <c r="M45" s="2"/>
      <c r="N45" s="2"/>
      <c r="O45" s="2"/>
      <c r="P45" s="521"/>
      <c r="Q45" s="521"/>
      <c r="R45" s="2"/>
      <c r="S45" s="2"/>
      <c r="T45" s="2"/>
      <c r="U45" s="2"/>
      <c r="V45" s="521"/>
      <c r="W45" s="522"/>
    </row>
    <row r="46" spans="1:24" ht="14.45" customHeight="1" x14ac:dyDescent="0.25">
      <c r="A46" s="24"/>
      <c r="B46" s="713" t="s">
        <v>11</v>
      </c>
      <c r="C46" s="713"/>
      <c r="D46" s="713" t="s">
        <v>16</v>
      </c>
      <c r="E46" s="714"/>
      <c r="F46" s="25"/>
      <c r="G46" s="26"/>
      <c r="H46" s="715" t="s">
        <v>11</v>
      </c>
      <c r="I46" s="715"/>
      <c r="J46" s="715" t="s">
        <v>16</v>
      </c>
      <c r="K46" s="716"/>
      <c r="L46" s="77"/>
      <c r="M46" s="27"/>
      <c r="N46" s="786" t="s">
        <v>11</v>
      </c>
      <c r="O46" s="786"/>
      <c r="P46" s="786" t="s">
        <v>16</v>
      </c>
      <c r="Q46" s="787"/>
      <c r="R46" s="25"/>
      <c r="S46" s="28"/>
      <c r="T46" s="784" t="s">
        <v>11</v>
      </c>
      <c r="U46" s="784"/>
      <c r="V46" s="784" t="s">
        <v>16</v>
      </c>
      <c r="W46" s="785"/>
    </row>
    <row r="47" spans="1:24" ht="14.45" customHeight="1" x14ac:dyDescent="0.25">
      <c r="A47" s="30">
        <f>A44+$J$34+R5</f>
        <v>0.47222222222222238</v>
      </c>
      <c r="B47" s="31" t="str">
        <f>B37</f>
        <v>4eme A</v>
      </c>
      <c r="C47" s="31" t="str">
        <f>B39</f>
        <v>3eme C</v>
      </c>
      <c r="D47" s="53"/>
      <c r="E47" s="54"/>
      <c r="F47" s="2"/>
      <c r="G47" s="32">
        <f>G44+$J$34+R5</f>
        <v>0.45833333333333348</v>
      </c>
      <c r="H47" s="33" t="str">
        <f>H37</f>
        <v>3eme A</v>
      </c>
      <c r="I47" s="33" t="str">
        <f>H39</f>
        <v>4eme C</v>
      </c>
      <c r="J47" s="57"/>
      <c r="K47" s="58"/>
      <c r="L47" s="76"/>
      <c r="M47" s="34">
        <f>M44+$J$34+R5</f>
        <v>0.45833333333333348</v>
      </c>
      <c r="N47" s="35" t="str">
        <f>N37</f>
        <v>2eme A</v>
      </c>
      <c r="O47" s="35" t="str">
        <f>N39</f>
        <v>1er C</v>
      </c>
      <c r="P47" s="61"/>
      <c r="Q47" s="62"/>
      <c r="R47" s="2"/>
      <c r="S47" s="36">
        <f>S44+$J$34+R5</f>
        <v>0.45833333333333348</v>
      </c>
      <c r="T47" s="37" t="str">
        <f>T37</f>
        <v>1er A</v>
      </c>
      <c r="U47" s="37" t="str">
        <f>T39</f>
        <v>2eme C</v>
      </c>
      <c r="V47" s="65"/>
      <c r="W47" s="66"/>
    </row>
    <row r="48" spans="1:24" ht="14.45" customHeight="1" thickBot="1" x14ac:dyDescent="0.3">
      <c r="A48" s="38">
        <f>A47+$J$34+R5</f>
        <v>0.48263888888888906</v>
      </c>
      <c r="B48" s="39" t="str">
        <f>B38</f>
        <v>4eme B</v>
      </c>
      <c r="C48" s="39" t="str">
        <f>B40</f>
        <v>3eme D</v>
      </c>
      <c r="D48" s="55"/>
      <c r="E48" s="56"/>
      <c r="F48" s="2"/>
      <c r="G48" s="40">
        <f>G47+$J$34+R5</f>
        <v>0.46875000000000017</v>
      </c>
      <c r="H48" s="41" t="str">
        <f>H38</f>
        <v>3eme B</v>
      </c>
      <c r="I48" s="41" t="str">
        <f>H40</f>
        <v>4eme D</v>
      </c>
      <c r="J48" s="59"/>
      <c r="K48" s="60"/>
      <c r="L48" s="76"/>
      <c r="M48" s="42">
        <f>M47+$J$34+R5</f>
        <v>0.46875000000000017</v>
      </c>
      <c r="N48" s="43" t="str">
        <f>N38</f>
        <v>2eme B</v>
      </c>
      <c r="O48" s="43" t="str">
        <f>N40</f>
        <v>1er D</v>
      </c>
      <c r="P48" s="63"/>
      <c r="Q48" s="64"/>
      <c r="R48" s="2"/>
      <c r="S48" s="44">
        <f>S47+$J$34+R5</f>
        <v>0.46875000000000017</v>
      </c>
      <c r="T48" s="45" t="str">
        <f>T38</f>
        <v>1er B</v>
      </c>
      <c r="U48" s="45" t="str">
        <f>T40</f>
        <v>2eme D</v>
      </c>
      <c r="V48" s="67"/>
      <c r="W48" s="68"/>
    </row>
    <row r="49" spans="1:23" ht="5.0999999999999996" customHeight="1" thickBot="1" x14ac:dyDescent="0.3">
      <c r="A49" s="19"/>
      <c r="B49" s="2"/>
      <c r="C49" s="2"/>
      <c r="D49" s="521"/>
      <c r="E49" s="521"/>
      <c r="F49" s="2"/>
      <c r="G49" s="2"/>
      <c r="H49" s="2"/>
      <c r="I49" s="47"/>
      <c r="J49" s="521"/>
      <c r="K49" s="521"/>
      <c r="L49" s="85"/>
      <c r="M49" s="2"/>
      <c r="N49" s="2"/>
      <c r="O49" s="2"/>
      <c r="P49" s="521"/>
      <c r="Q49" s="521"/>
      <c r="R49" s="2"/>
      <c r="S49" s="2"/>
      <c r="T49" s="2"/>
      <c r="U49" s="2"/>
      <c r="V49" s="521"/>
      <c r="W49" s="522"/>
    </row>
    <row r="50" spans="1:23" ht="14.45" customHeight="1" x14ac:dyDescent="0.25">
      <c r="A50" s="24"/>
      <c r="B50" s="713" t="s">
        <v>12</v>
      </c>
      <c r="C50" s="713"/>
      <c r="D50" s="713" t="s">
        <v>16</v>
      </c>
      <c r="E50" s="714"/>
      <c r="F50" s="25"/>
      <c r="G50" s="26"/>
      <c r="H50" s="715" t="s">
        <v>12</v>
      </c>
      <c r="I50" s="715"/>
      <c r="J50" s="715" t="s">
        <v>16</v>
      </c>
      <c r="K50" s="716"/>
      <c r="L50" s="77"/>
      <c r="M50" s="27"/>
      <c r="N50" s="786" t="s">
        <v>12</v>
      </c>
      <c r="O50" s="786"/>
      <c r="P50" s="786" t="s">
        <v>16</v>
      </c>
      <c r="Q50" s="787"/>
      <c r="R50" s="25"/>
      <c r="S50" s="28"/>
      <c r="T50" s="784" t="s">
        <v>12</v>
      </c>
      <c r="U50" s="784"/>
      <c r="V50" s="784" t="s">
        <v>16</v>
      </c>
      <c r="W50" s="785"/>
    </row>
    <row r="51" spans="1:23" ht="14.45" customHeight="1" x14ac:dyDescent="0.25">
      <c r="A51" s="30">
        <f>A48+$J$34+R5</f>
        <v>0.49305555555555575</v>
      </c>
      <c r="B51" s="31" t="str">
        <f>B37</f>
        <v>4eme A</v>
      </c>
      <c r="C51" s="31" t="str">
        <f>B40</f>
        <v>3eme D</v>
      </c>
      <c r="D51" s="53"/>
      <c r="E51" s="54"/>
      <c r="F51" s="2"/>
      <c r="G51" s="32">
        <f>G48+$J$34+R5</f>
        <v>0.47916666666666685</v>
      </c>
      <c r="H51" s="33" t="str">
        <f>H37</f>
        <v>3eme A</v>
      </c>
      <c r="I51" s="33" t="str">
        <f>H40</f>
        <v>4eme D</v>
      </c>
      <c r="J51" s="57"/>
      <c r="K51" s="58"/>
      <c r="L51" s="76"/>
      <c r="M51" s="34">
        <f>M48+$J$34+R5</f>
        <v>0.47916666666666685</v>
      </c>
      <c r="N51" s="35" t="str">
        <f>N37</f>
        <v>2eme A</v>
      </c>
      <c r="O51" s="35" t="str">
        <f>N40</f>
        <v>1er D</v>
      </c>
      <c r="P51" s="61"/>
      <c r="Q51" s="62"/>
      <c r="R51" s="2"/>
      <c r="S51" s="36">
        <f>S48+$J$34+R5</f>
        <v>0.47916666666666685</v>
      </c>
      <c r="T51" s="37" t="str">
        <f>T37</f>
        <v>1er A</v>
      </c>
      <c r="U51" s="37" t="str">
        <f>T40</f>
        <v>2eme D</v>
      </c>
      <c r="V51" s="65"/>
      <c r="W51" s="66"/>
    </row>
    <row r="52" spans="1:23" ht="14.45" customHeight="1" thickBot="1" x14ac:dyDescent="0.3">
      <c r="A52" s="38">
        <f>A51+$J$34+R5</f>
        <v>0.50347222222222243</v>
      </c>
      <c r="B52" s="39" t="str">
        <f>B38</f>
        <v>4eme B</v>
      </c>
      <c r="C52" s="39" t="str">
        <f>B39</f>
        <v>3eme C</v>
      </c>
      <c r="D52" s="55"/>
      <c r="E52" s="56"/>
      <c r="F52" s="47"/>
      <c r="G52" s="40">
        <f>G51+$J$34+R5</f>
        <v>0.48958333333333354</v>
      </c>
      <c r="H52" s="41" t="str">
        <f>H38</f>
        <v>3eme B</v>
      </c>
      <c r="I52" s="41" t="str">
        <f>H39</f>
        <v>4eme C</v>
      </c>
      <c r="J52" s="59"/>
      <c r="K52" s="60"/>
      <c r="L52" s="78"/>
      <c r="M52" s="42">
        <f>M51+$J$34+R5</f>
        <v>0.48958333333333354</v>
      </c>
      <c r="N52" s="43" t="str">
        <f>N38</f>
        <v>2eme B</v>
      </c>
      <c r="O52" s="43" t="str">
        <f>N39</f>
        <v>1er C</v>
      </c>
      <c r="P52" s="63"/>
      <c r="Q52" s="64"/>
      <c r="R52" s="47"/>
      <c r="S52" s="44">
        <f>S51+$J$34+R5</f>
        <v>0.48958333333333354</v>
      </c>
      <c r="T52" s="45" t="str">
        <f>T38</f>
        <v>1er B</v>
      </c>
      <c r="U52" s="45" t="str">
        <f>T39</f>
        <v>2eme C</v>
      </c>
      <c r="V52" s="67"/>
      <c r="W52" s="68"/>
    </row>
    <row r="53" spans="1:23" ht="5.0999999999999996" hidden="1" customHeight="1" x14ac:dyDescent="0.25">
      <c r="A53" s="118"/>
      <c r="B53" s="119"/>
      <c r="C53" s="119"/>
      <c r="D53" s="173"/>
      <c r="E53" s="173"/>
      <c r="F53" s="89"/>
      <c r="G53" s="120"/>
      <c r="H53" s="119"/>
      <c r="I53" s="119"/>
      <c r="J53" s="173"/>
      <c r="K53" s="173"/>
      <c r="L53" s="89"/>
      <c r="M53" s="120"/>
      <c r="N53" s="119"/>
      <c r="O53" s="119"/>
      <c r="P53" s="173"/>
      <c r="Q53" s="173"/>
      <c r="R53" s="89"/>
      <c r="S53" s="93"/>
      <c r="T53" s="428"/>
      <c r="U53" s="428"/>
      <c r="V53" s="116"/>
      <c r="W53" s="117"/>
    </row>
    <row r="54" spans="1:23" ht="14.45" hidden="1" customHeight="1" x14ac:dyDescent="0.25">
      <c r="A54" s="783" t="s">
        <v>47</v>
      </c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2"/>
      <c r="R54" s="762"/>
      <c r="S54" s="762"/>
      <c r="T54" s="762"/>
      <c r="U54" s="762"/>
      <c r="V54" s="762"/>
      <c r="W54" s="763"/>
    </row>
    <row r="55" spans="1:23" ht="14.45" hidden="1" customHeight="1" x14ac:dyDescent="0.25">
      <c r="A55" s="81" t="s">
        <v>21</v>
      </c>
      <c r="B55" s="711" t="s">
        <v>41</v>
      </c>
      <c r="C55" s="711"/>
      <c r="D55" s="711" t="s">
        <v>15</v>
      </c>
      <c r="E55" s="712"/>
      <c r="F55" s="122"/>
      <c r="G55" s="81" t="s">
        <v>21</v>
      </c>
      <c r="H55" s="711" t="s">
        <v>42</v>
      </c>
      <c r="I55" s="711"/>
      <c r="J55" s="711" t="s">
        <v>15</v>
      </c>
      <c r="K55" s="712"/>
      <c r="L55" s="75"/>
      <c r="M55" s="81" t="s">
        <v>21</v>
      </c>
      <c r="N55" s="711" t="s">
        <v>43</v>
      </c>
      <c r="O55" s="711"/>
      <c r="P55" s="711" t="s">
        <v>15</v>
      </c>
      <c r="Q55" s="712"/>
      <c r="R55" s="122"/>
      <c r="S55" s="81" t="s">
        <v>21</v>
      </c>
      <c r="T55" s="711" t="s">
        <v>55</v>
      </c>
      <c r="U55" s="711"/>
      <c r="V55" s="711" t="s">
        <v>15</v>
      </c>
      <c r="W55" s="712"/>
    </row>
    <row r="56" spans="1:23" ht="14.45" hidden="1" customHeight="1" x14ac:dyDescent="0.25">
      <c r="A56" s="49">
        <v>1</v>
      </c>
      <c r="B56" s="680" t="str">
        <f>VLOOKUP($A56,$A$71:$D$74,2,FALSE)</f>
        <v>4eme A</v>
      </c>
      <c r="C56" s="680"/>
      <c r="D56" s="683">
        <f>VLOOKUP($A56,$A$71:$D$74,4,FALSE)</f>
        <v>3.9999999999999998E-7</v>
      </c>
      <c r="E56" s="683"/>
      <c r="F56" s="105"/>
      <c r="G56" s="49">
        <v>1</v>
      </c>
      <c r="H56" s="680" t="str">
        <f>VLOOKUP($G56,$G$71:$J$74,2,FALSE)</f>
        <v>3eme A</v>
      </c>
      <c r="I56" s="680"/>
      <c r="J56" s="681">
        <f>VLOOKUP($G56,$G$71:$J$74,4,FALSE)</f>
        <v>3.9999999999999998E-7</v>
      </c>
      <c r="K56" s="681"/>
      <c r="L56" s="76"/>
      <c r="M56" s="49">
        <v>1</v>
      </c>
      <c r="N56" s="680" t="str">
        <f>VLOOKUP($M56,$M$71:$P$74,2,FALSE)</f>
        <v>2eme A</v>
      </c>
      <c r="O56" s="680"/>
      <c r="P56" s="681">
        <f>VLOOKUP($M56,$M$71:$P$74,4,FALSE)</f>
        <v>3.9999999999999998E-7</v>
      </c>
      <c r="Q56" s="681"/>
      <c r="R56" s="105"/>
      <c r="S56" s="49">
        <v>1</v>
      </c>
      <c r="T56" s="680" t="str">
        <f>VLOOKUP($S56,$S$71:$V$74,2,FALSE)</f>
        <v>1er A</v>
      </c>
      <c r="U56" s="680"/>
      <c r="V56" s="681">
        <f>VLOOKUP($S56,$S$71:$V$74,4,FALSE)</f>
        <v>3.9999999999999998E-7</v>
      </c>
      <c r="W56" s="681"/>
    </row>
    <row r="57" spans="1:23" ht="14.45" hidden="1" customHeight="1" x14ac:dyDescent="0.25">
      <c r="A57" s="49">
        <v>2</v>
      </c>
      <c r="B57" s="680" t="str">
        <f t="shared" ref="B57:B59" si="0">VLOOKUP($A57,$A$71:$D$74,2,FALSE)</f>
        <v>4eme B</v>
      </c>
      <c r="C57" s="680"/>
      <c r="D57" s="683">
        <f t="shared" ref="D57:D59" si="1">VLOOKUP($A57,$A$71:$D$74,4,FALSE)</f>
        <v>2.9999999999999999E-7</v>
      </c>
      <c r="E57" s="683"/>
      <c r="F57" s="105"/>
      <c r="G57" s="49">
        <v>2</v>
      </c>
      <c r="H57" s="680" t="str">
        <f t="shared" ref="H57:H59" si="2">VLOOKUP($G57,$G$71:$J$74,2,FALSE)</f>
        <v>3eme B</v>
      </c>
      <c r="I57" s="680"/>
      <c r="J57" s="681">
        <f t="shared" ref="J57:J59" si="3">VLOOKUP($G57,$G$71:$J$74,4,FALSE)</f>
        <v>2.9999999999999999E-7</v>
      </c>
      <c r="K57" s="681"/>
      <c r="L57" s="76"/>
      <c r="M57" s="49">
        <v>2</v>
      </c>
      <c r="N57" s="680" t="str">
        <f t="shared" ref="N57:N59" si="4">VLOOKUP($M57,$M$71:$P$74,2,FALSE)</f>
        <v>2eme B</v>
      </c>
      <c r="O57" s="680"/>
      <c r="P57" s="681">
        <f t="shared" ref="P57:P59" si="5">VLOOKUP($M57,$M$71:$P$74,4,FALSE)</f>
        <v>2.9999999999999999E-7</v>
      </c>
      <c r="Q57" s="681"/>
      <c r="R57" s="105"/>
      <c r="S57" s="49">
        <v>2</v>
      </c>
      <c r="T57" s="680" t="str">
        <f t="shared" ref="T57:T59" si="6">VLOOKUP($S57,$S$71:$V$74,2,FALSE)</f>
        <v>1er B</v>
      </c>
      <c r="U57" s="680"/>
      <c r="V57" s="681">
        <f t="shared" ref="V57:V59" si="7">VLOOKUP($S57,$S$71:$V$74,4,FALSE)</f>
        <v>2.9999999999999999E-7</v>
      </c>
      <c r="W57" s="681"/>
    </row>
    <row r="58" spans="1:23" ht="14.45" hidden="1" customHeight="1" x14ac:dyDescent="0.25">
      <c r="A58" s="49">
        <v>3</v>
      </c>
      <c r="B58" s="680" t="str">
        <f t="shared" si="0"/>
        <v>3eme C</v>
      </c>
      <c r="C58" s="680"/>
      <c r="D58" s="683">
        <f t="shared" si="1"/>
        <v>1.9999999999999999E-7</v>
      </c>
      <c r="E58" s="683"/>
      <c r="F58" s="105"/>
      <c r="G58" s="49">
        <v>3</v>
      </c>
      <c r="H58" s="680" t="str">
        <f t="shared" si="2"/>
        <v>4eme C</v>
      </c>
      <c r="I58" s="680"/>
      <c r="J58" s="681">
        <f t="shared" si="3"/>
        <v>1.9999999999999999E-7</v>
      </c>
      <c r="K58" s="681"/>
      <c r="L58" s="76"/>
      <c r="M58" s="49">
        <v>3</v>
      </c>
      <c r="N58" s="680" t="str">
        <f t="shared" si="4"/>
        <v>1er C</v>
      </c>
      <c r="O58" s="680"/>
      <c r="P58" s="681">
        <f t="shared" si="5"/>
        <v>1.9999999999999999E-7</v>
      </c>
      <c r="Q58" s="681"/>
      <c r="R58" s="105"/>
      <c r="S58" s="49">
        <v>3</v>
      </c>
      <c r="T58" s="680" t="str">
        <f t="shared" si="6"/>
        <v>2eme C</v>
      </c>
      <c r="U58" s="680"/>
      <c r="V58" s="681">
        <f t="shared" si="7"/>
        <v>1.9999999999999999E-7</v>
      </c>
      <c r="W58" s="681"/>
    </row>
    <row r="59" spans="1:23" ht="14.45" hidden="1" customHeight="1" x14ac:dyDescent="0.25">
      <c r="A59" s="50">
        <v>4</v>
      </c>
      <c r="B59" s="680" t="str">
        <f t="shared" si="0"/>
        <v>3eme D</v>
      </c>
      <c r="C59" s="680"/>
      <c r="D59" s="683">
        <f t="shared" si="1"/>
        <v>9.9999999999999995E-8</v>
      </c>
      <c r="E59" s="683"/>
      <c r="F59" s="123"/>
      <c r="G59" s="50">
        <v>4</v>
      </c>
      <c r="H59" s="680" t="str">
        <f t="shared" si="2"/>
        <v>4eme D</v>
      </c>
      <c r="I59" s="680"/>
      <c r="J59" s="681">
        <f t="shared" si="3"/>
        <v>9.9999999999999995E-8</v>
      </c>
      <c r="K59" s="681"/>
      <c r="L59" s="78"/>
      <c r="M59" s="50">
        <v>4</v>
      </c>
      <c r="N59" s="680" t="str">
        <f t="shared" si="4"/>
        <v>1er D</v>
      </c>
      <c r="O59" s="680"/>
      <c r="P59" s="681">
        <f t="shared" si="5"/>
        <v>9.9999999999999995E-8</v>
      </c>
      <c r="Q59" s="681"/>
      <c r="R59" s="123"/>
      <c r="S59" s="50">
        <v>4</v>
      </c>
      <c r="T59" s="680" t="str">
        <f t="shared" si="6"/>
        <v>2eme D</v>
      </c>
      <c r="U59" s="680"/>
      <c r="V59" s="681">
        <f t="shared" si="7"/>
        <v>9.9999999999999995E-8</v>
      </c>
      <c r="W59" s="681"/>
    </row>
    <row r="60" spans="1:23" ht="15" hidden="1" customHeight="1" x14ac:dyDescent="0.25">
      <c r="A60" s="768" t="s">
        <v>34</v>
      </c>
      <c r="B60" s="675"/>
      <c r="C60" s="675"/>
      <c r="D60" s="675"/>
      <c r="E60" s="675"/>
      <c r="F60" s="675"/>
      <c r="G60" s="675"/>
      <c r="H60" s="675"/>
      <c r="I60" s="675"/>
      <c r="J60" s="675"/>
      <c r="K60" s="675"/>
      <c r="L60" s="675"/>
      <c r="M60" s="675"/>
      <c r="N60" s="675"/>
      <c r="O60" s="675"/>
      <c r="P60" s="675"/>
      <c r="Q60" s="675"/>
      <c r="R60" s="675"/>
      <c r="S60" s="675"/>
      <c r="T60" s="675"/>
      <c r="U60" s="675"/>
      <c r="V60" s="675"/>
      <c r="W60" s="676"/>
    </row>
    <row r="61" spans="1:23" s="2" customFormat="1" x14ac:dyDescent="0.25">
      <c r="A61" s="771" t="s">
        <v>238</v>
      </c>
      <c r="B61" s="771"/>
      <c r="C61" s="771"/>
      <c r="D61" s="771"/>
      <c r="E61" s="771"/>
      <c r="F61" s="771"/>
      <c r="G61" s="771"/>
      <c r="H61" s="771"/>
      <c r="I61" s="771"/>
      <c r="J61" s="771"/>
      <c r="K61" s="771"/>
      <c r="L61" s="771"/>
      <c r="M61" s="771"/>
      <c r="N61" s="771"/>
      <c r="O61" s="771"/>
      <c r="P61" s="771"/>
      <c r="Q61" s="771"/>
      <c r="R61" s="771"/>
      <c r="S61" s="771"/>
      <c r="T61" s="771"/>
      <c r="U61" s="771"/>
      <c r="V61" s="771"/>
      <c r="W61" s="771"/>
    </row>
    <row r="62" spans="1:23" s="2" customFormat="1" hidden="1" x14ac:dyDescent="0.25"/>
    <row r="63" spans="1:23" ht="16.5" hidden="1" thickBot="1" x14ac:dyDescent="0.3">
      <c r="A63" s="670" t="s">
        <v>49</v>
      </c>
      <c r="B63" s="671"/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  <c r="S63" s="671"/>
      <c r="T63" s="671"/>
      <c r="U63" s="671"/>
      <c r="V63" s="671"/>
      <c r="W63" s="672"/>
    </row>
    <row r="64" spans="1:23" ht="14.45" hidden="1" customHeight="1" x14ac:dyDescent="0.25">
      <c r="A64" s="96"/>
      <c r="B64" s="711" t="s">
        <v>1</v>
      </c>
      <c r="C64" s="711"/>
      <c r="D64" s="711" t="s">
        <v>15</v>
      </c>
      <c r="E64" s="772"/>
      <c r="F64" s="773"/>
      <c r="G64" s="121"/>
      <c r="H64" s="711" t="s">
        <v>2</v>
      </c>
      <c r="I64" s="711"/>
      <c r="J64" s="711" t="s">
        <v>15</v>
      </c>
      <c r="K64" s="772"/>
      <c r="L64" s="75"/>
      <c r="M64" s="121"/>
      <c r="N64" s="711" t="s">
        <v>3</v>
      </c>
      <c r="O64" s="711"/>
      <c r="P64" s="711" t="s">
        <v>15</v>
      </c>
      <c r="Q64" s="772"/>
      <c r="R64" s="122"/>
      <c r="S64" s="96"/>
      <c r="T64" s="711" t="s">
        <v>4</v>
      </c>
      <c r="U64" s="711"/>
      <c r="V64" s="711" t="s">
        <v>15</v>
      </c>
      <c r="W64" s="712"/>
    </row>
    <row r="65" spans="1:23" ht="14.45" hidden="1" customHeight="1" x14ac:dyDescent="0.25">
      <c r="A65" s="86">
        <f>RANK(D65,$D$65:$D$68)</f>
        <v>1</v>
      </c>
      <c r="B65" s="69" t="str">
        <f>B9</f>
        <v>Equipe 1</v>
      </c>
      <c r="C65" s="69">
        <f>D15-E15+D19-E19+D23-E23</f>
        <v>0</v>
      </c>
      <c r="D65" s="681">
        <f>D9+4/10000000</f>
        <v>3.9999999999999998E-7</v>
      </c>
      <c r="E65" s="767"/>
      <c r="F65" s="774"/>
      <c r="G65" s="91">
        <f>RANK(J65,$J$65:$J$68)</f>
        <v>1</v>
      </c>
      <c r="H65" s="69" t="str">
        <f>H9</f>
        <v>Equipe 5</v>
      </c>
      <c r="I65" s="69">
        <f>J15-K15+J19-K19+J23-K23</f>
        <v>0</v>
      </c>
      <c r="J65" s="681">
        <f>J9+4/10000000</f>
        <v>3.9999999999999998E-7</v>
      </c>
      <c r="K65" s="767"/>
      <c r="L65" s="76"/>
      <c r="M65" s="91">
        <f>RANK(P65,$P$65:$P$68)</f>
        <v>1</v>
      </c>
      <c r="N65" s="69" t="str">
        <f>N9</f>
        <v>Equipe 9</v>
      </c>
      <c r="O65" s="69">
        <f>P15-Q15+P19-Q19+P23-Q23</f>
        <v>0</v>
      </c>
      <c r="P65" s="681">
        <f>P9+4/10000000</f>
        <v>3.9999999999999998E-7</v>
      </c>
      <c r="Q65" s="767"/>
      <c r="R65" s="105"/>
      <c r="S65" s="86">
        <f>RANK(V65,$V$65:$V$68)</f>
        <v>1</v>
      </c>
      <c r="T65" s="69" t="str">
        <f>T9</f>
        <v>Equipe 13</v>
      </c>
      <c r="U65" s="69">
        <f>V15-W15+V19-W19+V23-W23</f>
        <v>0</v>
      </c>
      <c r="V65" s="681">
        <f>V9+4/10000000</f>
        <v>3.9999999999999998E-7</v>
      </c>
      <c r="W65" s="682"/>
    </row>
    <row r="66" spans="1:23" ht="14.45" hidden="1" customHeight="1" x14ac:dyDescent="0.25">
      <c r="A66" s="86">
        <f t="shared" ref="A66:A68" si="8">RANK(D66,$D$65:$D$68)</f>
        <v>2</v>
      </c>
      <c r="B66" s="69" t="str">
        <f>B10</f>
        <v>Equipe 2</v>
      </c>
      <c r="C66" s="69">
        <f>E15-D15+D20-E20+D24-E24</f>
        <v>0</v>
      </c>
      <c r="D66" s="681">
        <f>D10+3/10000000</f>
        <v>2.9999999999999999E-7</v>
      </c>
      <c r="E66" s="767"/>
      <c r="F66" s="774"/>
      <c r="G66" s="91">
        <f t="shared" ref="G66:G68" si="9">RANK(J66,$J$65:$J$68)</f>
        <v>2</v>
      </c>
      <c r="H66" s="69" t="str">
        <f>H10</f>
        <v>Equipe 6</v>
      </c>
      <c r="I66" s="69">
        <f>K15-J15+J20-K20+J24-K24</f>
        <v>0</v>
      </c>
      <c r="J66" s="681">
        <f>J10+3/10000000</f>
        <v>2.9999999999999999E-7</v>
      </c>
      <c r="K66" s="767"/>
      <c r="L66" s="76"/>
      <c r="M66" s="91">
        <f t="shared" ref="M66:M68" si="10">RANK(P66,$P$65:$P$68)</f>
        <v>2</v>
      </c>
      <c r="N66" s="69" t="str">
        <f>N10</f>
        <v>Equipe 10</v>
      </c>
      <c r="O66" s="69">
        <f>Q15-P15+P20-Q20+P24-Q24</f>
        <v>0</v>
      </c>
      <c r="P66" s="681">
        <f>P10+3/10000000</f>
        <v>2.9999999999999999E-7</v>
      </c>
      <c r="Q66" s="767"/>
      <c r="R66" s="105"/>
      <c r="S66" s="86">
        <f t="shared" ref="S66:S68" si="11">RANK(V66,$V$65:$V$68)</f>
        <v>2</v>
      </c>
      <c r="T66" s="69" t="str">
        <f>T10</f>
        <v>Equipe 14</v>
      </c>
      <c r="U66" s="69">
        <f>W15-V15+V20-W20+V24-W24</f>
        <v>0</v>
      </c>
      <c r="V66" s="681">
        <f>V10+3/10000000</f>
        <v>2.9999999999999999E-7</v>
      </c>
      <c r="W66" s="682"/>
    </row>
    <row r="67" spans="1:23" ht="14.45" hidden="1" customHeight="1" x14ac:dyDescent="0.25">
      <c r="A67" s="86">
        <f t="shared" si="8"/>
        <v>3</v>
      </c>
      <c r="B67" s="69" t="str">
        <f>B11</f>
        <v>Equipe 3</v>
      </c>
      <c r="C67" s="69">
        <f>D16-E16+E19-D19+E24-D24</f>
        <v>0</v>
      </c>
      <c r="D67" s="681">
        <f>D11+2/10000000</f>
        <v>1.9999999999999999E-7</v>
      </c>
      <c r="E67" s="767"/>
      <c r="F67" s="774"/>
      <c r="G67" s="91">
        <f t="shared" si="9"/>
        <v>3</v>
      </c>
      <c r="H67" s="69" t="str">
        <f>H11</f>
        <v>Equipe 7</v>
      </c>
      <c r="I67" s="69">
        <f>J16-K16+K19-J19+K24-J24</f>
        <v>0</v>
      </c>
      <c r="J67" s="681">
        <f>J11+2/10000000</f>
        <v>1.9999999999999999E-7</v>
      </c>
      <c r="K67" s="767"/>
      <c r="L67" s="76"/>
      <c r="M67" s="91">
        <f t="shared" si="10"/>
        <v>3</v>
      </c>
      <c r="N67" s="69" t="str">
        <f>N11</f>
        <v>Equipe 11</v>
      </c>
      <c r="O67" s="69">
        <f>P16-Q16+Q19-P19+Q24-P24</f>
        <v>0</v>
      </c>
      <c r="P67" s="681">
        <f>P11+2/10000000</f>
        <v>1.9999999999999999E-7</v>
      </c>
      <c r="Q67" s="767"/>
      <c r="R67" s="105"/>
      <c r="S67" s="86">
        <f t="shared" si="11"/>
        <v>3</v>
      </c>
      <c r="T67" s="69" t="str">
        <f>T11</f>
        <v>Equipe 15</v>
      </c>
      <c r="U67" s="69">
        <f>V16-W16+W19-V19+W24-V24</f>
        <v>0</v>
      </c>
      <c r="V67" s="681">
        <f>V11+2/10000000</f>
        <v>1.9999999999999999E-7</v>
      </c>
      <c r="W67" s="682"/>
    </row>
    <row r="68" spans="1:23" ht="14.45" hidden="1" customHeight="1" x14ac:dyDescent="0.25">
      <c r="A68" s="87">
        <f t="shared" si="8"/>
        <v>4</v>
      </c>
      <c r="B68" s="88" t="str">
        <f>B12</f>
        <v>Equipe 4</v>
      </c>
      <c r="C68" s="88">
        <f>E16-D16+E20-D20+E23-D23</f>
        <v>0</v>
      </c>
      <c r="D68" s="709">
        <f>D12+1/10000000</f>
        <v>9.9999999999999995E-8</v>
      </c>
      <c r="E68" s="761"/>
      <c r="F68" s="775"/>
      <c r="G68" s="92">
        <f t="shared" si="9"/>
        <v>4</v>
      </c>
      <c r="H68" s="88" t="str">
        <f>H12</f>
        <v>Equipe 8</v>
      </c>
      <c r="I68" s="88">
        <f>K16-J16+K20-J20+K23-J23</f>
        <v>0</v>
      </c>
      <c r="J68" s="709">
        <f>J12+1/10000000</f>
        <v>9.9999999999999995E-8</v>
      </c>
      <c r="K68" s="761"/>
      <c r="L68" s="78"/>
      <c r="M68" s="92">
        <f t="shared" si="10"/>
        <v>4</v>
      </c>
      <c r="N68" s="88" t="str">
        <f>N12</f>
        <v>Equipe 12</v>
      </c>
      <c r="O68" s="88">
        <f>Q16-P16+Q20-P20+Q23-P23</f>
        <v>0</v>
      </c>
      <c r="P68" s="709">
        <f>P12+1/10000000</f>
        <v>9.9999999999999995E-8</v>
      </c>
      <c r="Q68" s="761"/>
      <c r="R68" s="123"/>
      <c r="S68" s="87">
        <f t="shared" si="11"/>
        <v>4</v>
      </c>
      <c r="T68" s="88" t="str">
        <f>T12</f>
        <v>Equipe 16</v>
      </c>
      <c r="U68" s="88">
        <f>W16-V16+W20-V20+W23-V23</f>
        <v>0</v>
      </c>
      <c r="V68" s="709">
        <f>V12+1/10000000</f>
        <v>9.9999999999999995E-8</v>
      </c>
      <c r="W68" s="710"/>
    </row>
    <row r="69" spans="1:23" ht="16.5" hidden="1" thickBot="1" x14ac:dyDescent="0.3">
      <c r="A69" s="670" t="s">
        <v>47</v>
      </c>
      <c r="B69" s="671"/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2"/>
    </row>
    <row r="70" spans="1:23" ht="14.45" hidden="1" customHeight="1" x14ac:dyDescent="0.25">
      <c r="A70" s="96"/>
      <c r="B70" s="711" t="s">
        <v>62</v>
      </c>
      <c r="C70" s="711"/>
      <c r="D70" s="711" t="s">
        <v>15</v>
      </c>
      <c r="E70" s="712"/>
      <c r="F70" s="773"/>
      <c r="G70" s="96"/>
      <c r="H70" s="711" t="s">
        <v>63</v>
      </c>
      <c r="I70" s="711"/>
      <c r="J70" s="711" t="s">
        <v>15</v>
      </c>
      <c r="K70" s="712"/>
      <c r="L70" s="75"/>
      <c r="M70" s="96"/>
      <c r="N70" s="711" t="s">
        <v>64</v>
      </c>
      <c r="O70" s="711"/>
      <c r="P70" s="711" t="s">
        <v>15</v>
      </c>
      <c r="Q70" s="712"/>
      <c r="R70" s="122"/>
      <c r="S70" s="96"/>
      <c r="T70" s="711" t="s">
        <v>65</v>
      </c>
      <c r="U70" s="711"/>
      <c r="V70" s="711" t="s">
        <v>15</v>
      </c>
      <c r="W70" s="712"/>
    </row>
    <row r="71" spans="1:23" ht="14.45" hidden="1" customHeight="1" x14ac:dyDescent="0.25">
      <c r="A71" s="86">
        <f>RANK(D71,$D$71:$D$74)</f>
        <v>1</v>
      </c>
      <c r="B71" s="69" t="str">
        <f>B37</f>
        <v>4eme A</v>
      </c>
      <c r="C71" s="69">
        <f>D43-E43+D47-E47+D51-E51</f>
        <v>0</v>
      </c>
      <c r="D71" s="681">
        <f>D37+4/10000000</f>
        <v>3.9999999999999998E-7</v>
      </c>
      <c r="E71" s="682"/>
      <c r="F71" s="774"/>
      <c r="G71" s="86">
        <f>RANK(J71,$J$71:$J$74)</f>
        <v>1</v>
      </c>
      <c r="H71" s="69" t="str">
        <f>H37</f>
        <v>3eme A</v>
      </c>
      <c r="I71" s="69">
        <f>J43-K43+J47-K47+J51-K51</f>
        <v>0</v>
      </c>
      <c r="J71" s="681">
        <f>J37+4/10000000</f>
        <v>3.9999999999999998E-7</v>
      </c>
      <c r="K71" s="682"/>
      <c r="L71" s="76"/>
      <c r="M71" s="86">
        <f>RANK(P71,$P$71:$P$74)</f>
        <v>1</v>
      </c>
      <c r="N71" s="69" t="str">
        <f>N37</f>
        <v>2eme A</v>
      </c>
      <c r="O71" s="69">
        <f>P43-Q43+P47-Q47+P51-Q51</f>
        <v>0</v>
      </c>
      <c r="P71" s="681">
        <f>P37+4/10000000</f>
        <v>3.9999999999999998E-7</v>
      </c>
      <c r="Q71" s="682"/>
      <c r="R71" s="105"/>
      <c r="S71" s="86">
        <f>RANK(V71,$V$71:$V$74)</f>
        <v>1</v>
      </c>
      <c r="T71" s="69" t="str">
        <f>T37</f>
        <v>1er A</v>
      </c>
      <c r="U71" s="69">
        <f>V43-W43+V47-W47+V51-W51</f>
        <v>0</v>
      </c>
      <c r="V71" s="681">
        <f>V37+4/10000000</f>
        <v>3.9999999999999998E-7</v>
      </c>
      <c r="W71" s="682"/>
    </row>
    <row r="72" spans="1:23" ht="14.45" hidden="1" customHeight="1" x14ac:dyDescent="0.25">
      <c r="A72" s="86">
        <f t="shared" ref="A72:A74" si="12">RANK(D72,$D$71:$D$74)</f>
        <v>2</v>
      </c>
      <c r="B72" s="69" t="str">
        <f t="shared" ref="B72:B74" si="13">B38</f>
        <v>4eme B</v>
      </c>
      <c r="C72" s="69">
        <f>E43-D43+D48-E48+D52-E52</f>
        <v>0</v>
      </c>
      <c r="D72" s="681">
        <f>D38+3/10000000</f>
        <v>2.9999999999999999E-7</v>
      </c>
      <c r="E72" s="682"/>
      <c r="F72" s="774"/>
      <c r="G72" s="86">
        <f t="shared" ref="G72:G74" si="14">RANK(J72,$J$71:$J$74)</f>
        <v>2</v>
      </c>
      <c r="H72" s="69" t="str">
        <f t="shared" ref="H72:H74" si="15">H38</f>
        <v>3eme B</v>
      </c>
      <c r="I72" s="69">
        <f>K43-J43+J48-K48+J52-K52</f>
        <v>0</v>
      </c>
      <c r="J72" s="681">
        <f>J38+3/10000000</f>
        <v>2.9999999999999999E-7</v>
      </c>
      <c r="K72" s="682"/>
      <c r="L72" s="76"/>
      <c r="M72" s="86">
        <f t="shared" ref="M72:M74" si="16">RANK(P72,$P$71:$P$74)</f>
        <v>2</v>
      </c>
      <c r="N72" s="69" t="str">
        <f t="shared" ref="N72:N74" si="17">N38</f>
        <v>2eme B</v>
      </c>
      <c r="O72" s="69">
        <f>Q43-P43+P48-Q48+P52-Q52</f>
        <v>0</v>
      </c>
      <c r="P72" s="681">
        <f>P38+3/10000000</f>
        <v>2.9999999999999999E-7</v>
      </c>
      <c r="Q72" s="682"/>
      <c r="R72" s="105"/>
      <c r="S72" s="86">
        <f t="shared" ref="S72:S74" si="18">RANK(V72,$V$71:$V$74)</f>
        <v>2</v>
      </c>
      <c r="T72" s="69" t="str">
        <f t="shared" ref="T72:T74" si="19">T38</f>
        <v>1er B</v>
      </c>
      <c r="U72" s="69">
        <f>W43-V43+V48-W48+V52-W52</f>
        <v>0</v>
      </c>
      <c r="V72" s="681">
        <f>V38+3/10000000</f>
        <v>2.9999999999999999E-7</v>
      </c>
      <c r="W72" s="682"/>
    </row>
    <row r="73" spans="1:23" ht="14.45" hidden="1" customHeight="1" x14ac:dyDescent="0.25">
      <c r="A73" s="86">
        <f t="shared" si="12"/>
        <v>3</v>
      </c>
      <c r="B73" s="69" t="str">
        <f t="shared" si="13"/>
        <v>3eme C</v>
      </c>
      <c r="C73" s="69">
        <f>D44-E44+E47-D47+E52-D52</f>
        <v>0</v>
      </c>
      <c r="D73" s="681">
        <f>D39+2/10000000</f>
        <v>1.9999999999999999E-7</v>
      </c>
      <c r="E73" s="682"/>
      <c r="F73" s="774"/>
      <c r="G73" s="86">
        <f t="shared" si="14"/>
        <v>3</v>
      </c>
      <c r="H73" s="69" t="str">
        <f t="shared" si="15"/>
        <v>4eme C</v>
      </c>
      <c r="I73" s="69">
        <f>J44-K44+K47-J47+K52-J52</f>
        <v>0</v>
      </c>
      <c r="J73" s="681">
        <f>J39+2/10000000</f>
        <v>1.9999999999999999E-7</v>
      </c>
      <c r="K73" s="682"/>
      <c r="L73" s="76"/>
      <c r="M73" s="86">
        <f t="shared" si="16"/>
        <v>3</v>
      </c>
      <c r="N73" s="69" t="str">
        <f t="shared" si="17"/>
        <v>1er C</v>
      </c>
      <c r="O73" s="69">
        <f>P44-Q44+Q47-P47+Q52-P52</f>
        <v>0</v>
      </c>
      <c r="P73" s="681">
        <f>P39+2/10000000</f>
        <v>1.9999999999999999E-7</v>
      </c>
      <c r="Q73" s="682"/>
      <c r="R73" s="105"/>
      <c r="S73" s="86">
        <f t="shared" si="18"/>
        <v>3</v>
      </c>
      <c r="T73" s="69" t="str">
        <f t="shared" si="19"/>
        <v>2eme C</v>
      </c>
      <c r="U73" s="69">
        <f>V44-W44+W47-V47+W52-V52</f>
        <v>0</v>
      </c>
      <c r="V73" s="681">
        <f>V39+2/10000000</f>
        <v>1.9999999999999999E-7</v>
      </c>
      <c r="W73" s="682"/>
    </row>
    <row r="74" spans="1:23" ht="14.45" hidden="1" customHeight="1" x14ac:dyDescent="0.25">
      <c r="A74" s="87">
        <f t="shared" si="12"/>
        <v>4</v>
      </c>
      <c r="B74" s="88" t="str">
        <f t="shared" si="13"/>
        <v>3eme D</v>
      </c>
      <c r="C74" s="88">
        <f>E44-D44+E48-D48+E51-D51</f>
        <v>0</v>
      </c>
      <c r="D74" s="709">
        <f>D40+1/10000000</f>
        <v>9.9999999999999995E-8</v>
      </c>
      <c r="E74" s="710"/>
      <c r="F74" s="775"/>
      <c r="G74" s="87">
        <f t="shared" si="14"/>
        <v>4</v>
      </c>
      <c r="H74" s="88" t="str">
        <f t="shared" si="15"/>
        <v>4eme D</v>
      </c>
      <c r="I74" s="88">
        <f>K44-J44+K48-J48+K51-J51</f>
        <v>0</v>
      </c>
      <c r="J74" s="709">
        <f>J40+1/10000000</f>
        <v>9.9999999999999995E-8</v>
      </c>
      <c r="K74" s="710"/>
      <c r="L74" s="78"/>
      <c r="M74" s="87">
        <f t="shared" si="16"/>
        <v>4</v>
      </c>
      <c r="N74" s="88" t="str">
        <f t="shared" si="17"/>
        <v>1er D</v>
      </c>
      <c r="O74" s="88">
        <f>Q44-P44+Q48-P48+Q51-P51</f>
        <v>0</v>
      </c>
      <c r="P74" s="709">
        <f>P40+1/10000000</f>
        <v>9.9999999999999995E-8</v>
      </c>
      <c r="Q74" s="710"/>
      <c r="R74" s="123"/>
      <c r="S74" s="87">
        <f t="shared" si="18"/>
        <v>4</v>
      </c>
      <c r="T74" s="88" t="str">
        <f t="shared" si="19"/>
        <v>2eme D</v>
      </c>
      <c r="U74" s="88">
        <f>W44-V44+W48-V48+W51-V51</f>
        <v>0</v>
      </c>
      <c r="V74" s="709">
        <f>V40+1/10000000</f>
        <v>9.9999999999999995E-8</v>
      </c>
      <c r="W74" s="710"/>
    </row>
    <row r="75" spans="1:23" hidden="1" x14ac:dyDescent="0.25">
      <c r="A75" s="700"/>
      <c r="B75" s="700"/>
      <c r="C75" s="700"/>
      <c r="D75" s="700"/>
      <c r="E75" s="700"/>
      <c r="F75" s="700"/>
      <c r="G75" s="700"/>
      <c r="H75" s="700"/>
      <c r="I75" s="700"/>
      <c r="J75" s="700"/>
      <c r="K75" s="700"/>
      <c r="L75" s="700"/>
      <c r="M75" s="700"/>
      <c r="N75" s="700"/>
      <c r="O75" s="700"/>
      <c r="P75" s="700"/>
      <c r="Q75" s="700"/>
    </row>
    <row r="76" spans="1:23" hidden="1" x14ac:dyDescent="0.25">
      <c r="A76" s="1">
        <f>IF(D15="",0,(IF(D15&gt;E15,3,IF(D15=E15,1,0))))</f>
        <v>0</v>
      </c>
      <c r="B76" s="1">
        <f>IF(E15="",0,(IF(E15&gt;D15,3,IF(E15=D15,1,0))))</f>
        <v>0</v>
      </c>
      <c r="G76" s="1">
        <f>IF(J15="",0,(IF(J15&gt;K15,3,IF(J15=K15,1,0))))</f>
        <v>0</v>
      </c>
      <c r="H76" s="1">
        <f>IF(K15="",0,(IF(K15&gt;J15,3,IF(K15=J15,1,0))))</f>
        <v>0</v>
      </c>
      <c r="M76" s="1">
        <f>IF(P15="",0,(IF(P15&gt;Q15,3,IF(P15=Q15,1,0))))</f>
        <v>0</v>
      </c>
      <c r="N76" s="1">
        <f>IF(Q15="",0,(IF(Q15&gt;P15,3,IF(Q15=P15,1,0))))</f>
        <v>0</v>
      </c>
      <c r="S76" s="1">
        <f>IF(V15="",0,(IF(V15&gt;W15,3,IF(V15=W15,1,0))))</f>
        <v>0</v>
      </c>
      <c r="T76" s="1">
        <f>IF(W15="",0,(IF(W15&gt;V15,3,IF(W15=V15,1,0))))</f>
        <v>0</v>
      </c>
    </row>
    <row r="77" spans="1:23" hidden="1" x14ac:dyDescent="0.25">
      <c r="A77" s="1">
        <f>IF(D16="",0,(IF(D16&gt;E16,3,IF(D16=E16,1,0))))</f>
        <v>0</v>
      </c>
      <c r="B77" s="1">
        <f>IF(E16="",0,(IF(E16&gt;D16,3,IF(E16=D16,1,0))))</f>
        <v>0</v>
      </c>
      <c r="G77" s="1">
        <f>IF(J16="",0,(IF(J16&gt;K16,3,IF(J16=K16,1,0))))</f>
        <v>0</v>
      </c>
      <c r="H77" s="1">
        <f>IF(K16="",0,(IF(K16&gt;J16,3,IF(K16=J16,1,0))))</f>
        <v>0</v>
      </c>
      <c r="M77" s="1">
        <f>IF(P16="",0,(IF(P16&gt;Q16,3,IF(P16=Q16,1,0))))</f>
        <v>0</v>
      </c>
      <c r="N77" s="1">
        <f>IF(Q16="",0,(IF(Q16&gt;P16,3,IF(Q16=P16,1,0))))</f>
        <v>0</v>
      </c>
      <c r="S77" s="1">
        <f>IF(V16="",0,(IF(V16&gt;W16,3,IF(V16=W16,1,0))))</f>
        <v>0</v>
      </c>
      <c r="T77" s="1">
        <f>IF(W16="",0,(IF(W16&gt;V16,3,IF(W16=V16,1,0))))</f>
        <v>0</v>
      </c>
    </row>
    <row r="78" spans="1:23" hidden="1" x14ac:dyDescent="0.25"/>
    <row r="79" spans="1:23" hidden="1" x14ac:dyDescent="0.25"/>
    <row r="80" spans="1:23" hidden="1" x14ac:dyDescent="0.25">
      <c r="A80" s="1">
        <f>IF(D19="",0,(IF(D19&gt;E19,3,IF(D19=E19,1,0))))</f>
        <v>0</v>
      </c>
      <c r="B80" s="1">
        <f>IF(E19="",0,(IF(E19&gt;D19,3,IF(E19=D19,1,0))))</f>
        <v>0</v>
      </c>
      <c r="G80" s="1">
        <f>IF(J19="",0,(IF(J19&gt;K19,3,IF(J19=K19,1,0))))</f>
        <v>0</v>
      </c>
      <c r="H80" s="1">
        <f>IF(K19="",0,(IF(K19&gt;J19,3,IF(K19=J19,1,0))))</f>
        <v>0</v>
      </c>
      <c r="M80" s="1">
        <f>IF(P19="",0,(IF(P19&gt;Q19,3,IF(P19=Q19,1,0))))</f>
        <v>0</v>
      </c>
      <c r="N80" s="1">
        <f>IF(Q19="",0,(IF(Q19&gt;P19,3,IF(Q19=P19,1,0))))</f>
        <v>0</v>
      </c>
      <c r="S80" s="1">
        <f>IF(V19="",0,(IF(V19&gt;W19,3,IF(V19=W19,1,0))))</f>
        <v>0</v>
      </c>
      <c r="T80" s="1">
        <f>IF(W19="",0,(IF(W19&gt;V19,3,IF(W19=V19,1,0))))</f>
        <v>0</v>
      </c>
    </row>
    <row r="81" spans="1:20" hidden="1" x14ac:dyDescent="0.25">
      <c r="A81" s="1">
        <f>IF(D20="",0,(IF(D20&gt;E20,3,IF(D20=E20,1,0))))</f>
        <v>0</v>
      </c>
      <c r="B81" s="1">
        <f>IF(E20="",0,(IF(E20&gt;D20,3,IF(E20=D20,1,0))))</f>
        <v>0</v>
      </c>
      <c r="G81" s="1">
        <f>IF(J20="",0,(IF(J20&gt;K20,3,IF(J20=K20,1,0))))</f>
        <v>0</v>
      </c>
      <c r="H81" s="1">
        <f>IF(K20="",0,(IF(K20&gt;J20,3,IF(K20=J20,1,0))))</f>
        <v>0</v>
      </c>
      <c r="M81" s="1">
        <f>IF(P20="",0,(IF(P20&gt;Q20,3,IF(P20=Q20,1,0))))</f>
        <v>0</v>
      </c>
      <c r="N81" s="1">
        <f>IF(Q20="",0,(IF(Q20&gt;P20,3,IF(Q20=P20,1,0))))</f>
        <v>0</v>
      </c>
      <c r="S81" s="1">
        <f>IF(V20="",0,(IF(V20&gt;W20,3,IF(V20=W20,1,0))))</f>
        <v>0</v>
      </c>
      <c r="T81" s="1">
        <f>IF(W20="",0,(IF(W20&gt;V20,3,IF(W20=V20,1,0))))</f>
        <v>0</v>
      </c>
    </row>
    <row r="82" spans="1:20" hidden="1" x14ac:dyDescent="0.25"/>
    <row r="83" spans="1:20" hidden="1" x14ac:dyDescent="0.25"/>
    <row r="84" spans="1:20" hidden="1" x14ac:dyDescent="0.25">
      <c r="A84" s="1">
        <f>IF(D23="",0,(IF(D23&gt;E23,3,IF(D23=E23,1,0))))</f>
        <v>0</v>
      </c>
      <c r="B84" s="1">
        <f>IF(E23="",0,(IF(E23&gt;D23,3,IF(E23=D23,1,0))))</f>
        <v>0</v>
      </c>
      <c r="G84" s="1">
        <f>IF(J23="",0,(IF(J23&gt;K23,3,IF(J23=K23,1,0))))</f>
        <v>0</v>
      </c>
      <c r="H84" s="1">
        <f>IF(K23="",0,(IF(K23&gt;J23,3,IF(K23=J23,1,0))))</f>
        <v>0</v>
      </c>
      <c r="M84" s="1">
        <f>IF(P23="",0,(IF(P23&gt;Q23,3,IF(P23=Q23,1,0))))</f>
        <v>0</v>
      </c>
      <c r="N84" s="1">
        <f>IF(Q23="",0,(IF(Q23&gt;P23,3,IF(Q23=P23,1,0))))</f>
        <v>0</v>
      </c>
      <c r="S84" s="1">
        <f>IF(V23="",0,(IF(V23&gt;W23,3,IF(V23=W23,1,0))))</f>
        <v>0</v>
      </c>
      <c r="T84" s="1">
        <f>IF(W23="",0,(IF(W23&gt;V23,3,IF(W23=V23,1,0))))</f>
        <v>0</v>
      </c>
    </row>
    <row r="85" spans="1:20" hidden="1" x14ac:dyDescent="0.25">
      <c r="A85" s="1">
        <f>IF(D24="",0,(IF(D24&gt;E24,3,IF(D24=E24,1,0))))</f>
        <v>0</v>
      </c>
      <c r="B85" s="1">
        <f>IF(E24="",0,(IF(E24&gt;D24,3,IF(E24=D24,1,0))))</f>
        <v>0</v>
      </c>
      <c r="G85" s="1">
        <f>IF(J24="",0,(IF(J24&gt;K24,3,IF(J24=K24,1,0))))</f>
        <v>0</v>
      </c>
      <c r="H85" s="1">
        <f>IF(K24="",0,(IF(K24&gt;J24,3,IF(K24=J24,1,0))))</f>
        <v>0</v>
      </c>
      <c r="M85" s="1">
        <f>IF(P24="",0,(IF(P24&gt;Q24,3,IF(P24=Q24,1,0))))</f>
        <v>0</v>
      </c>
      <c r="N85" s="1">
        <f>IF(Q24="",0,(IF(Q24&gt;P24,3,IF(Q24=P24,1,0))))</f>
        <v>0</v>
      </c>
      <c r="S85" s="1">
        <f>IF(V24="",0,(IF(V24&gt;W24,3,IF(V24=W24,1,0))))</f>
        <v>0</v>
      </c>
      <c r="T85" s="1">
        <f>IF(W24="",0,(IF(W24&gt;V24,3,IF(W24=V24,1,0))))</f>
        <v>0</v>
      </c>
    </row>
    <row r="86" spans="1:20" hidden="1" x14ac:dyDescent="0.25"/>
    <row r="87" spans="1:20" hidden="1" x14ac:dyDescent="0.25"/>
    <row r="88" spans="1:20" hidden="1" x14ac:dyDescent="0.25"/>
    <row r="89" spans="1:20" hidden="1" x14ac:dyDescent="0.25"/>
    <row r="90" spans="1:20" hidden="1" x14ac:dyDescent="0.25"/>
    <row r="91" spans="1:20" hidden="1" x14ac:dyDescent="0.25"/>
    <row r="92" spans="1:20" hidden="1" x14ac:dyDescent="0.25"/>
    <row r="93" spans="1:20" hidden="1" x14ac:dyDescent="0.25"/>
    <row r="94" spans="1:20" hidden="1" x14ac:dyDescent="0.25"/>
    <row r="95" spans="1:20" hidden="1" x14ac:dyDescent="0.25"/>
    <row r="96" spans="1:20" hidden="1" x14ac:dyDescent="0.25"/>
    <row r="97" spans="1:20" hidden="1" x14ac:dyDescent="0.25"/>
    <row r="98" spans="1:20" hidden="1" x14ac:dyDescent="0.25"/>
    <row r="99" spans="1:20" hidden="1" x14ac:dyDescent="0.25"/>
    <row r="100" spans="1:20" hidden="1" x14ac:dyDescent="0.25"/>
    <row r="101" spans="1:20" hidden="1" x14ac:dyDescent="0.25"/>
    <row r="102" spans="1:20" hidden="1" x14ac:dyDescent="0.25">
      <c r="A102" s="1">
        <f>IF(D43="",0,(IF(D43&gt;E43,3,IF(D43=E43,1,0))))</f>
        <v>0</v>
      </c>
      <c r="B102" s="1">
        <f>IF(E43="",0,(IF(E43&gt;D43,3,IF(E43=D43,1,0))))</f>
        <v>0</v>
      </c>
      <c r="G102" s="1">
        <f>IF(J43="",0,(IF(J43&gt;K43,3,IF(J43=K43,1,0))))</f>
        <v>0</v>
      </c>
      <c r="H102" s="1">
        <f>IF(K43="",0,(IF(K43&gt;J43,3,IF(K43=J43,1,0))))</f>
        <v>0</v>
      </c>
      <c r="M102" s="1">
        <f>IF(P43="",0,(IF(P43&gt;Q43,3,IF(P43=Q43,1,0))))</f>
        <v>0</v>
      </c>
      <c r="N102" s="1">
        <f>IF(Q43="",0,(IF(Q43&gt;P43,3,IF(Q43=P43,1,0))))</f>
        <v>0</v>
      </c>
      <c r="S102" s="1">
        <f>IF(V43="",0,(IF(V43&gt;W43,3,IF(V43=W43,1,0))))</f>
        <v>0</v>
      </c>
      <c r="T102" s="1">
        <f>IF(W43="",0,(IF(W43&gt;V43,3,IF(W43=V43,1,0))))</f>
        <v>0</v>
      </c>
    </row>
    <row r="103" spans="1:20" hidden="1" x14ac:dyDescent="0.25">
      <c r="A103" s="1">
        <f>IF(D44="",0,(IF(D44&gt;E44,3,IF(D44=E44,1,0))))</f>
        <v>0</v>
      </c>
      <c r="B103" s="1">
        <f>IF(E44="",0,(IF(E44&gt;D44,3,IF(E44=D44,1,0))))</f>
        <v>0</v>
      </c>
      <c r="G103" s="1">
        <f>IF(J44="",0,(IF(J44&gt;K44,3,IF(J44=K44,1,0))))</f>
        <v>0</v>
      </c>
      <c r="H103" s="1">
        <f>IF(K44="",0,(IF(K44&gt;J44,3,IF(K44=J44,1,0))))</f>
        <v>0</v>
      </c>
      <c r="M103" s="1">
        <f>IF(P44="",0,(IF(P44&gt;Q44,3,IF(P44=Q44,1,0))))</f>
        <v>0</v>
      </c>
      <c r="N103" s="1">
        <f>IF(Q44="",0,(IF(Q44&gt;P44,3,IF(Q44=P44,1,0))))</f>
        <v>0</v>
      </c>
      <c r="S103" s="1">
        <f>IF(V44="",0,(IF(V44&gt;W44,3,IF(V44=W44,1,0))))</f>
        <v>0</v>
      </c>
      <c r="T103" s="1">
        <f>IF(W44="",0,(IF(W44&gt;V44,3,IF(W44=V44,1,0))))</f>
        <v>0</v>
      </c>
    </row>
    <row r="104" spans="1:20" hidden="1" x14ac:dyDescent="0.25"/>
    <row r="105" spans="1:20" hidden="1" x14ac:dyDescent="0.25"/>
    <row r="106" spans="1:20" hidden="1" x14ac:dyDescent="0.25">
      <c r="A106" s="1">
        <f>IF(D47="",0,(IF(D47&gt;E47,3,IF(D47=E47,1,0))))</f>
        <v>0</v>
      </c>
      <c r="B106" s="1">
        <f>IF(E47="",0,(IF(E47&gt;D47,3,IF(E47=D47,1,0))))</f>
        <v>0</v>
      </c>
      <c r="G106" s="1">
        <f>IF(J47="",0,(IF(J47&gt;K47,3,IF(J47=K47,1,0))))</f>
        <v>0</v>
      </c>
      <c r="H106" s="1">
        <f>IF(K47="",0,(IF(K47&gt;J47,3,IF(K47=J47,1,0))))</f>
        <v>0</v>
      </c>
      <c r="M106" s="1">
        <f>IF(P47="",0,(IF(P47&gt;Q47,3,IF(P47=Q47,1,0))))</f>
        <v>0</v>
      </c>
      <c r="N106" s="1">
        <f>IF(Q47="",0,(IF(Q47&gt;P47,3,IF(Q47=P47,1,0))))</f>
        <v>0</v>
      </c>
      <c r="S106" s="1">
        <f>IF(V47="",0,(IF(V47&gt;W47,3,IF(V47=W47,1,0))))</f>
        <v>0</v>
      </c>
      <c r="T106" s="1">
        <f>IF(W47="",0,(IF(W47&gt;V47,3,IF(W47=V47,1,0))))</f>
        <v>0</v>
      </c>
    </row>
    <row r="107" spans="1:20" hidden="1" x14ac:dyDescent="0.25">
      <c r="A107" s="1">
        <f>IF(D48="",0,(IF(D48&gt;E48,3,IF(D48=E48,1,0))))</f>
        <v>0</v>
      </c>
      <c r="B107" s="1">
        <f>IF(E48="",0,(IF(E48&gt;D48,3,IF(E48=D48,1,0))))</f>
        <v>0</v>
      </c>
      <c r="G107" s="1">
        <f>IF(J48="",0,(IF(J48&gt;K48,3,IF(J48=K48,1,0))))</f>
        <v>0</v>
      </c>
      <c r="H107" s="1">
        <f>IF(K48="",0,(IF(K48&gt;J48,3,IF(K48=J48,1,0))))</f>
        <v>0</v>
      </c>
      <c r="M107" s="1">
        <f>IF(P48="",0,(IF(P48&gt;Q48,3,IF(P48=Q48,1,0))))</f>
        <v>0</v>
      </c>
      <c r="N107" s="1">
        <f>IF(Q48="",0,(IF(Q48&gt;P48,3,IF(Q48=P48,1,0))))</f>
        <v>0</v>
      </c>
      <c r="S107" s="1">
        <f>IF(V48="",0,(IF(V48&gt;W48,3,IF(V48=W48,1,0))))</f>
        <v>0</v>
      </c>
      <c r="T107" s="1">
        <f>IF(W48="",0,(IF(W48&gt;V48,3,IF(W48=V48,1,0))))</f>
        <v>0</v>
      </c>
    </row>
    <row r="108" spans="1:20" hidden="1" x14ac:dyDescent="0.25"/>
    <row r="109" spans="1:20" hidden="1" x14ac:dyDescent="0.25"/>
    <row r="110" spans="1:20" hidden="1" x14ac:dyDescent="0.25">
      <c r="A110" s="1">
        <f>IF(D51="",0,(IF(D51&gt;E51,3,IF(D51=E51,1,0))))</f>
        <v>0</v>
      </c>
      <c r="B110" s="1">
        <f>IF(E51="",0,(IF(E51&gt;D51,3,IF(E51=D51,1,0))))</f>
        <v>0</v>
      </c>
      <c r="G110" s="1">
        <f>IF(J51="",0,(IF(J51&gt;K51,3,IF(J51=K51,1,0))))</f>
        <v>0</v>
      </c>
      <c r="H110" s="1">
        <f>IF(K51="",0,(IF(K51&gt;J51,3,IF(K51=J51,1,0))))</f>
        <v>0</v>
      </c>
      <c r="M110" s="1">
        <f>IF(P51="",0,(IF(P51&gt;Q51,3,IF(P51=Q51,1,0))))</f>
        <v>0</v>
      </c>
      <c r="N110" s="1">
        <f>IF(Q51="",0,(IF(Q51&gt;P51,3,IF(Q51=P51,1,0))))</f>
        <v>0</v>
      </c>
      <c r="S110" s="1">
        <f>IF(V51="",0,(IF(V51&gt;W51,3,IF(V51=W51,1,0))))</f>
        <v>0</v>
      </c>
      <c r="T110" s="1">
        <f>IF(W51="",0,(IF(W51&gt;V51,3,IF(W51=V51,1,0))))</f>
        <v>0</v>
      </c>
    </row>
    <row r="111" spans="1:20" hidden="1" x14ac:dyDescent="0.25">
      <c r="A111" s="1">
        <f>IF(D52="",0,(IF(D52&gt;E52,3,IF(D52=E52,1,0))))</f>
        <v>0</v>
      </c>
      <c r="B111" s="1">
        <f>IF(E52="",0,(IF(E52&gt;D52,3,IF(E52=D52,1,0))))</f>
        <v>0</v>
      </c>
      <c r="G111" s="1">
        <f>IF(J52="",0,(IF(J52&gt;K52,3,IF(J52=K52,1,0))))</f>
        <v>0</v>
      </c>
      <c r="H111" s="1">
        <f>IF(K52="",0,(IF(K52&gt;J52,3,IF(K52=J52,1,0))))</f>
        <v>0</v>
      </c>
      <c r="M111" s="1">
        <f>IF(P52="",0,(IF(P52&gt;Q52,3,IF(P52=Q52,1,0))))</f>
        <v>0</v>
      </c>
      <c r="N111" s="1">
        <f>IF(Q52="",0,(IF(Q52&gt;P52,3,IF(Q52=P52,1,0))))</f>
        <v>0</v>
      </c>
      <c r="S111" s="1">
        <f>IF(V52="",0,(IF(V52&gt;W52,3,IF(V52=W52,1,0))))</f>
        <v>0</v>
      </c>
      <c r="T111" s="1">
        <f>IF(W52="",0,(IF(W52&gt;V52,3,IF(W52=V52,1,0))))</f>
        <v>0</v>
      </c>
    </row>
    <row r="112" spans="1:20" hidden="1" x14ac:dyDescent="0.25"/>
    <row r="113" hidden="1" x14ac:dyDescent="0.25"/>
  </sheetData>
  <sheetProtection sheet="1" scenarios="1" selectLockedCells="1"/>
  <mergeCells count="289">
    <mergeCell ref="A75:Q75"/>
    <mergeCell ref="D72:E72"/>
    <mergeCell ref="J72:K72"/>
    <mergeCell ref="P72:Q72"/>
    <mergeCell ref="V72:W72"/>
    <mergeCell ref="D73:E73"/>
    <mergeCell ref="J73:K73"/>
    <mergeCell ref="P73:Q73"/>
    <mergeCell ref="V73:W73"/>
    <mergeCell ref="N70:O70"/>
    <mergeCell ref="P70:Q70"/>
    <mergeCell ref="T70:U70"/>
    <mergeCell ref="V70:W70"/>
    <mergeCell ref="D71:E71"/>
    <mergeCell ref="J71:K71"/>
    <mergeCell ref="P71:Q71"/>
    <mergeCell ref="V71:W71"/>
    <mergeCell ref="D68:E68"/>
    <mergeCell ref="J68:K68"/>
    <mergeCell ref="P68:Q68"/>
    <mergeCell ref="V68:W68"/>
    <mergeCell ref="A69:W69"/>
    <mergeCell ref="B70:C70"/>
    <mergeCell ref="D70:E70"/>
    <mergeCell ref="F70:F74"/>
    <mergeCell ref="H70:I70"/>
    <mergeCell ref="J70:K70"/>
    <mergeCell ref="D74:E74"/>
    <mergeCell ref="J74:K74"/>
    <mergeCell ref="P74:Q74"/>
    <mergeCell ref="V74:W74"/>
    <mergeCell ref="A60:W60"/>
    <mergeCell ref="A61:W61"/>
    <mergeCell ref="A63:W63"/>
    <mergeCell ref="B64:C64"/>
    <mergeCell ref="D64:E64"/>
    <mergeCell ref="F64:F68"/>
    <mergeCell ref="H64:I64"/>
    <mergeCell ref="J64:K64"/>
    <mergeCell ref="N64:O64"/>
    <mergeCell ref="P64:Q64"/>
    <mergeCell ref="D66:E66"/>
    <mergeCell ref="J66:K66"/>
    <mergeCell ref="P66:Q66"/>
    <mergeCell ref="V66:W66"/>
    <mergeCell ref="D67:E67"/>
    <mergeCell ref="J67:K67"/>
    <mergeCell ref="P67:Q67"/>
    <mergeCell ref="V67:W67"/>
    <mergeCell ref="T64:U64"/>
    <mergeCell ref="V64:W64"/>
    <mergeCell ref="D65:E65"/>
    <mergeCell ref="J65:K65"/>
    <mergeCell ref="P65:Q65"/>
    <mergeCell ref="V65:W65"/>
    <mergeCell ref="T58:U58"/>
    <mergeCell ref="V58:W58"/>
    <mergeCell ref="B59:C59"/>
    <mergeCell ref="D59:E59"/>
    <mergeCell ref="H59:I59"/>
    <mergeCell ref="J59:K59"/>
    <mergeCell ref="N59:O59"/>
    <mergeCell ref="P59:Q59"/>
    <mergeCell ref="T59:U59"/>
    <mergeCell ref="V59:W59"/>
    <mergeCell ref="B58:C58"/>
    <mergeCell ref="D58:E58"/>
    <mergeCell ref="H58:I58"/>
    <mergeCell ref="J58:K58"/>
    <mergeCell ref="N58:O58"/>
    <mergeCell ref="P58:Q58"/>
    <mergeCell ref="T56:U56"/>
    <mergeCell ref="V56:W56"/>
    <mergeCell ref="B57:C57"/>
    <mergeCell ref="D57:E57"/>
    <mergeCell ref="H57:I57"/>
    <mergeCell ref="J57:K57"/>
    <mergeCell ref="N57:O57"/>
    <mergeCell ref="P57:Q57"/>
    <mergeCell ref="T57:U57"/>
    <mergeCell ref="V57:W57"/>
    <mergeCell ref="B56:C56"/>
    <mergeCell ref="D56:E56"/>
    <mergeCell ref="H56:I56"/>
    <mergeCell ref="J56:K56"/>
    <mergeCell ref="N56:O56"/>
    <mergeCell ref="P56:Q56"/>
    <mergeCell ref="A54:W54"/>
    <mergeCell ref="B55:C55"/>
    <mergeCell ref="D55:E55"/>
    <mergeCell ref="H55:I55"/>
    <mergeCell ref="J55:K55"/>
    <mergeCell ref="N55:O55"/>
    <mergeCell ref="P55:Q55"/>
    <mergeCell ref="T55:U55"/>
    <mergeCell ref="V55:W55"/>
    <mergeCell ref="T46:U46"/>
    <mergeCell ref="V46:W46"/>
    <mergeCell ref="B50:C50"/>
    <mergeCell ref="D50:E50"/>
    <mergeCell ref="H50:I50"/>
    <mergeCell ref="J50:K50"/>
    <mergeCell ref="N50:O50"/>
    <mergeCell ref="P50:Q50"/>
    <mergeCell ref="T50:U50"/>
    <mergeCell ref="V50:W50"/>
    <mergeCell ref="B46:C46"/>
    <mergeCell ref="D46:E46"/>
    <mergeCell ref="H46:I46"/>
    <mergeCell ref="J46:K46"/>
    <mergeCell ref="N46:O46"/>
    <mergeCell ref="P46:Q46"/>
    <mergeCell ref="T40:U40"/>
    <mergeCell ref="V40:W40"/>
    <mergeCell ref="B42:C42"/>
    <mergeCell ref="D42:E42"/>
    <mergeCell ref="H42:I42"/>
    <mergeCell ref="J42:K42"/>
    <mergeCell ref="N42:O42"/>
    <mergeCell ref="P42:Q42"/>
    <mergeCell ref="T42:U42"/>
    <mergeCell ref="V42:W42"/>
    <mergeCell ref="B40:C40"/>
    <mergeCell ref="D40:E40"/>
    <mergeCell ref="H40:I40"/>
    <mergeCell ref="J40:K40"/>
    <mergeCell ref="N40:O40"/>
    <mergeCell ref="P40:Q40"/>
    <mergeCell ref="B39:C39"/>
    <mergeCell ref="D39:E39"/>
    <mergeCell ref="H39:I39"/>
    <mergeCell ref="J39:K39"/>
    <mergeCell ref="N39:O39"/>
    <mergeCell ref="P39:Q39"/>
    <mergeCell ref="T39:U39"/>
    <mergeCell ref="V39:W39"/>
    <mergeCell ref="B38:C38"/>
    <mergeCell ref="D38:E38"/>
    <mergeCell ref="H38:I38"/>
    <mergeCell ref="J38:K38"/>
    <mergeCell ref="N38:O38"/>
    <mergeCell ref="P38:Q38"/>
    <mergeCell ref="B37:C37"/>
    <mergeCell ref="D37:E37"/>
    <mergeCell ref="H37:I37"/>
    <mergeCell ref="J37:K37"/>
    <mergeCell ref="N37:O37"/>
    <mergeCell ref="P37:Q37"/>
    <mergeCell ref="T37:U37"/>
    <mergeCell ref="V37:W37"/>
    <mergeCell ref="T38:U38"/>
    <mergeCell ref="V38:W38"/>
    <mergeCell ref="A32:W32"/>
    <mergeCell ref="A34:H34"/>
    <mergeCell ref="J34:L34"/>
    <mergeCell ref="O34:W34"/>
    <mergeCell ref="B36:C36"/>
    <mergeCell ref="D36:E36"/>
    <mergeCell ref="H36:I36"/>
    <mergeCell ref="J36:K36"/>
    <mergeCell ref="N36:O36"/>
    <mergeCell ref="P36:Q36"/>
    <mergeCell ref="T36:U36"/>
    <mergeCell ref="V36:W36"/>
    <mergeCell ref="A35:E35"/>
    <mergeCell ref="G35:K35"/>
    <mergeCell ref="M35:Q35"/>
    <mergeCell ref="S35:W35"/>
    <mergeCell ref="T30:U30"/>
    <mergeCell ref="V30:W30"/>
    <mergeCell ref="B31:C31"/>
    <mergeCell ref="D31:E31"/>
    <mergeCell ref="H31:I31"/>
    <mergeCell ref="J31:K31"/>
    <mergeCell ref="N31:O31"/>
    <mergeCell ref="P31:Q31"/>
    <mergeCell ref="T31:U31"/>
    <mergeCell ref="V31:W31"/>
    <mergeCell ref="B30:C30"/>
    <mergeCell ref="D30:E30"/>
    <mergeCell ref="H30:I30"/>
    <mergeCell ref="J30:K30"/>
    <mergeCell ref="N30:O30"/>
    <mergeCell ref="P30:Q30"/>
    <mergeCell ref="T28:U28"/>
    <mergeCell ref="V28:W28"/>
    <mergeCell ref="B29:C29"/>
    <mergeCell ref="D29:E29"/>
    <mergeCell ref="H29:I29"/>
    <mergeCell ref="J29:K29"/>
    <mergeCell ref="N29:O29"/>
    <mergeCell ref="P29:Q29"/>
    <mergeCell ref="T29:U29"/>
    <mergeCell ref="V29:W29"/>
    <mergeCell ref="B28:C28"/>
    <mergeCell ref="D28:E28"/>
    <mergeCell ref="H28:I28"/>
    <mergeCell ref="J28:K28"/>
    <mergeCell ref="N28:O28"/>
    <mergeCell ref="P28:Q28"/>
    <mergeCell ref="A26:W26"/>
    <mergeCell ref="B27:C27"/>
    <mergeCell ref="D27:E27"/>
    <mergeCell ref="H27:I27"/>
    <mergeCell ref="J27:K27"/>
    <mergeCell ref="N27:O27"/>
    <mergeCell ref="P27:Q27"/>
    <mergeCell ref="T27:U27"/>
    <mergeCell ref="V27:W27"/>
    <mergeCell ref="T18:U18"/>
    <mergeCell ref="V18:W18"/>
    <mergeCell ref="B22:C22"/>
    <mergeCell ref="D22:E22"/>
    <mergeCell ref="H22:I22"/>
    <mergeCell ref="J22:K22"/>
    <mergeCell ref="N22:O22"/>
    <mergeCell ref="P22:Q22"/>
    <mergeCell ref="T22:U22"/>
    <mergeCell ref="V22:W22"/>
    <mergeCell ref="B18:C18"/>
    <mergeCell ref="D18:E18"/>
    <mergeCell ref="H18:I18"/>
    <mergeCell ref="J18:K18"/>
    <mergeCell ref="N18:O18"/>
    <mergeCell ref="P18:Q18"/>
    <mergeCell ref="T12:U12"/>
    <mergeCell ref="V12:W12"/>
    <mergeCell ref="B14:C14"/>
    <mergeCell ref="D14:E14"/>
    <mergeCell ref="H14:I14"/>
    <mergeCell ref="J14:K14"/>
    <mergeCell ref="N14:O14"/>
    <mergeCell ref="P14:Q14"/>
    <mergeCell ref="T14:U14"/>
    <mergeCell ref="V14:W14"/>
    <mergeCell ref="B12:C12"/>
    <mergeCell ref="D12:E12"/>
    <mergeCell ref="H12:I12"/>
    <mergeCell ref="J12:K12"/>
    <mergeCell ref="N12:O12"/>
    <mergeCell ref="P12:Q12"/>
    <mergeCell ref="T10:U10"/>
    <mergeCell ref="V10:W10"/>
    <mergeCell ref="B11:C11"/>
    <mergeCell ref="D11:E11"/>
    <mergeCell ref="H11:I11"/>
    <mergeCell ref="J11:K11"/>
    <mergeCell ref="N11:O11"/>
    <mergeCell ref="P11:Q11"/>
    <mergeCell ref="T11:U11"/>
    <mergeCell ref="V11:W11"/>
    <mergeCell ref="B10:C10"/>
    <mergeCell ref="D10:E10"/>
    <mergeCell ref="H10:I10"/>
    <mergeCell ref="J10:K10"/>
    <mergeCell ref="N10:O10"/>
    <mergeCell ref="P10:Q10"/>
    <mergeCell ref="T8:U8"/>
    <mergeCell ref="V8:W8"/>
    <mergeCell ref="B9:C9"/>
    <mergeCell ref="D9:E9"/>
    <mergeCell ref="H9:I9"/>
    <mergeCell ref="J9:K9"/>
    <mergeCell ref="N9:O9"/>
    <mergeCell ref="P9:Q9"/>
    <mergeCell ref="T9:U9"/>
    <mergeCell ref="V9:W9"/>
    <mergeCell ref="B8:C8"/>
    <mergeCell ref="D8:E8"/>
    <mergeCell ref="H8:I8"/>
    <mergeCell ref="J8:K8"/>
    <mergeCell ref="N8:O8"/>
    <mergeCell ref="P8:Q8"/>
    <mergeCell ref="A6:H6"/>
    <mergeCell ref="J6:L6"/>
    <mergeCell ref="O6:W6"/>
    <mergeCell ref="A7:E7"/>
    <mergeCell ref="G7:K7"/>
    <mergeCell ref="M7:Q7"/>
    <mergeCell ref="S7:W7"/>
    <mergeCell ref="A1:T1"/>
    <mergeCell ref="U1:W5"/>
    <mergeCell ref="A3:I3"/>
    <mergeCell ref="E4:G4"/>
    <mergeCell ref="I4:K4"/>
    <mergeCell ref="L4:M4"/>
    <mergeCell ref="E5:G5"/>
    <mergeCell ref="L5:M5"/>
    <mergeCell ref="R5:S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4" orientation="landscape" horizontalDpi="300" verticalDpi="300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X47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297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690"/>
      <c r="V1" s="691"/>
      <c r="W1" s="692"/>
    </row>
    <row r="2" spans="1:23" ht="24.95" customHeight="1" x14ac:dyDescent="0.25">
      <c r="A2" s="262" t="s">
        <v>189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693"/>
      <c r="V2" s="694"/>
      <c r="W2" s="695"/>
    </row>
    <row r="3" spans="1:23" ht="24.95" customHeight="1" thickBot="1" x14ac:dyDescent="0.3">
      <c r="A3" s="263" t="s">
        <v>174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693"/>
      <c r="V3" s="694"/>
      <c r="W3" s="695"/>
    </row>
    <row r="4" spans="1:23" ht="24.95" customHeight="1" thickBot="1" x14ac:dyDescent="0.3">
      <c r="A4" s="263" t="s">
        <v>52</v>
      </c>
      <c r="B4" s="311"/>
      <c r="C4" s="311"/>
      <c r="D4" s="311"/>
      <c r="E4" s="1055">
        <v>0.375</v>
      </c>
      <c r="F4" s="1056"/>
      <c r="G4" s="1057"/>
      <c r="H4" s="408"/>
      <c r="I4" s="737" t="s">
        <v>54</v>
      </c>
      <c r="J4" s="737"/>
      <c r="K4" s="737"/>
      <c r="L4" s="742">
        <f>(3*J6)+(3*J27)</f>
        <v>4.1666666666666664E-2</v>
      </c>
      <c r="M4" s="742"/>
      <c r="N4" s="407" t="s">
        <v>33</v>
      </c>
      <c r="O4" s="319"/>
      <c r="P4" s="200"/>
      <c r="Q4" s="200"/>
      <c r="R4" s="200"/>
      <c r="S4" s="200"/>
      <c r="T4" s="201"/>
      <c r="U4" s="693"/>
      <c r="V4" s="694"/>
      <c r="W4" s="695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S45-A15+J27+"00:02"</f>
        <v>0.13680555555555521</v>
      </c>
      <c r="F5" s="810"/>
      <c r="G5" s="810"/>
      <c r="H5" s="215"/>
      <c r="I5" s="216" t="s">
        <v>79</v>
      </c>
      <c r="J5" s="216"/>
      <c r="K5" s="216"/>
      <c r="L5" s="687">
        <v>1.3888888888888888E-2</v>
      </c>
      <c r="M5" s="688"/>
      <c r="N5" s="216"/>
      <c r="O5" s="216" t="s">
        <v>242</v>
      </c>
      <c r="P5" s="216"/>
      <c r="Q5" s="216"/>
      <c r="R5" s="687">
        <v>3.472222222222222E-3</v>
      </c>
      <c r="S5" s="688"/>
      <c r="T5" s="320"/>
      <c r="U5" s="696"/>
      <c r="V5" s="697"/>
      <c r="W5" s="698"/>
    </row>
    <row r="6" spans="1:23" ht="16.5" thickBot="1" x14ac:dyDescent="0.3">
      <c r="A6" s="701" t="s">
        <v>84</v>
      </c>
      <c r="B6" s="685"/>
      <c r="C6" s="685"/>
      <c r="D6" s="685"/>
      <c r="E6" s="685"/>
      <c r="F6" s="685"/>
      <c r="G6" s="685"/>
      <c r="H6" s="685"/>
      <c r="I6" s="410" t="s">
        <v>18</v>
      </c>
      <c r="J6" s="782">
        <v>6.9444444444444441E-3</v>
      </c>
      <c r="K6" s="782"/>
      <c r="L6" s="782"/>
      <c r="M6" s="425" t="s">
        <v>17</v>
      </c>
      <c r="N6" s="410"/>
      <c r="O6" s="686"/>
      <c r="P6" s="686"/>
      <c r="Q6" s="686"/>
      <c r="R6" s="686"/>
      <c r="S6" s="686"/>
      <c r="T6" s="686"/>
      <c r="U6" s="686"/>
      <c r="V6" s="686"/>
      <c r="W6" s="781"/>
    </row>
    <row r="7" spans="1:23" ht="16.5" thickBot="1" x14ac:dyDescent="0.3">
      <c r="A7" s="780" t="s">
        <v>87</v>
      </c>
      <c r="B7" s="686"/>
      <c r="C7" s="686"/>
      <c r="D7" s="686"/>
      <c r="E7" s="781"/>
      <c r="F7" s="139"/>
      <c r="G7" s="780" t="s">
        <v>88</v>
      </c>
      <c r="H7" s="686"/>
      <c r="I7" s="686"/>
      <c r="J7" s="686"/>
      <c r="K7" s="781"/>
      <c r="L7" s="446"/>
      <c r="M7" s="780" t="s">
        <v>250</v>
      </c>
      <c r="N7" s="686"/>
      <c r="O7" s="686"/>
      <c r="P7" s="686"/>
      <c r="Q7" s="781"/>
      <c r="R7" s="534"/>
      <c r="S7" s="780" t="s">
        <v>251</v>
      </c>
      <c r="T7" s="686"/>
      <c r="U7" s="686"/>
      <c r="V7" s="686"/>
      <c r="W7" s="781"/>
    </row>
    <row r="8" spans="1:23" x14ac:dyDescent="0.25">
      <c r="A8" s="6"/>
      <c r="B8" s="744" t="s">
        <v>41</v>
      </c>
      <c r="C8" s="745"/>
      <c r="D8" s="745"/>
      <c r="E8" s="746"/>
      <c r="F8" s="102"/>
      <c r="G8" s="7"/>
      <c r="H8" s="747" t="s">
        <v>42</v>
      </c>
      <c r="I8" s="748"/>
      <c r="J8" s="982"/>
      <c r="K8" s="1021"/>
      <c r="L8" s="76"/>
      <c r="M8" s="356"/>
      <c r="N8" s="804" t="s">
        <v>43</v>
      </c>
      <c r="O8" s="805"/>
      <c r="P8" s="986"/>
      <c r="Q8" s="987"/>
      <c r="R8" s="2"/>
      <c r="S8" s="9"/>
      <c r="T8" s="807" t="s">
        <v>55</v>
      </c>
      <c r="U8" s="808"/>
      <c r="V8" s="966"/>
      <c r="W8" s="967"/>
    </row>
    <row r="9" spans="1:23" x14ac:dyDescent="0.25">
      <c r="A9" s="10">
        <v>1</v>
      </c>
      <c r="B9" s="731" t="s">
        <v>22</v>
      </c>
      <c r="C9" s="732"/>
      <c r="D9" s="1023"/>
      <c r="E9" s="1024"/>
      <c r="F9" s="103"/>
      <c r="G9" s="11">
        <v>1</v>
      </c>
      <c r="H9" s="727" t="s">
        <v>26</v>
      </c>
      <c r="I9" s="728"/>
      <c r="J9" s="982"/>
      <c r="K9" s="1021"/>
      <c r="L9" s="76"/>
      <c r="M9" s="357">
        <v>1</v>
      </c>
      <c r="N9" s="800" t="s">
        <v>37</v>
      </c>
      <c r="O9" s="801"/>
      <c r="P9" s="988"/>
      <c r="Q9" s="989"/>
      <c r="R9" s="2"/>
      <c r="S9" s="13">
        <v>1</v>
      </c>
      <c r="T9" s="796" t="s">
        <v>56</v>
      </c>
      <c r="U9" s="797"/>
      <c r="V9" s="968"/>
      <c r="W9" s="969"/>
    </row>
    <row r="10" spans="1:23" x14ac:dyDescent="0.25">
      <c r="A10" s="10">
        <v>2</v>
      </c>
      <c r="B10" s="731" t="s">
        <v>23</v>
      </c>
      <c r="C10" s="732"/>
      <c r="D10" s="1025"/>
      <c r="E10" s="1026"/>
      <c r="F10" s="103"/>
      <c r="G10" s="11">
        <v>2</v>
      </c>
      <c r="H10" s="727" t="s">
        <v>27</v>
      </c>
      <c r="I10" s="728"/>
      <c r="J10" s="982"/>
      <c r="K10" s="1021"/>
      <c r="L10" s="76"/>
      <c r="M10" s="357">
        <v>2</v>
      </c>
      <c r="N10" s="800" t="s">
        <v>38</v>
      </c>
      <c r="O10" s="801"/>
      <c r="P10" s="988"/>
      <c r="Q10" s="989"/>
      <c r="R10" s="2"/>
      <c r="S10" s="13">
        <v>2</v>
      </c>
      <c r="T10" s="796" t="s">
        <v>57</v>
      </c>
      <c r="U10" s="797"/>
      <c r="V10" s="968"/>
      <c r="W10" s="969"/>
    </row>
    <row r="11" spans="1:23" x14ac:dyDescent="0.25">
      <c r="A11" s="10">
        <v>3</v>
      </c>
      <c r="B11" s="731" t="s">
        <v>24</v>
      </c>
      <c r="C11" s="732"/>
      <c r="D11" s="1025"/>
      <c r="E11" s="1026"/>
      <c r="F11" s="103"/>
      <c r="G11" s="11">
        <v>3</v>
      </c>
      <c r="H11" s="727" t="s">
        <v>28</v>
      </c>
      <c r="I11" s="728"/>
      <c r="J11" s="982"/>
      <c r="K11" s="1021"/>
      <c r="L11" s="76"/>
      <c r="M11" s="357">
        <v>3</v>
      </c>
      <c r="N11" s="800" t="s">
        <v>39</v>
      </c>
      <c r="O11" s="801"/>
      <c r="P11" s="988"/>
      <c r="Q11" s="989"/>
      <c r="R11" s="2"/>
      <c r="S11" s="13">
        <v>3</v>
      </c>
      <c r="T11" s="796" t="s">
        <v>58</v>
      </c>
      <c r="U11" s="797"/>
      <c r="V11" s="968"/>
      <c r="W11" s="969"/>
    </row>
    <row r="12" spans="1:23" ht="15.75" thickBot="1" x14ac:dyDescent="0.3">
      <c r="A12" s="15">
        <v>4</v>
      </c>
      <c r="B12" s="717" t="s">
        <v>25</v>
      </c>
      <c r="C12" s="718"/>
      <c r="D12" s="1027"/>
      <c r="E12" s="1028"/>
      <c r="F12" s="103"/>
      <c r="G12" s="16">
        <v>4</v>
      </c>
      <c r="H12" s="721" t="s">
        <v>29</v>
      </c>
      <c r="I12" s="722"/>
      <c r="J12" s="984"/>
      <c r="K12" s="1022"/>
      <c r="L12" s="76"/>
      <c r="M12" s="359">
        <v>4</v>
      </c>
      <c r="N12" s="792" t="s">
        <v>40</v>
      </c>
      <c r="O12" s="793"/>
      <c r="P12" s="990"/>
      <c r="Q12" s="991"/>
      <c r="R12" s="2"/>
      <c r="S12" s="18">
        <v>4</v>
      </c>
      <c r="T12" s="788" t="s">
        <v>59</v>
      </c>
      <c r="U12" s="789"/>
      <c r="V12" s="970"/>
      <c r="W12" s="971"/>
    </row>
    <row r="13" spans="1:23" ht="5.0999999999999996" customHeight="1" thickBot="1" x14ac:dyDescent="0.3">
      <c r="A13" s="19"/>
      <c r="B13" s="2"/>
      <c r="C13" s="2"/>
      <c r="D13" s="2"/>
      <c r="E13" s="2"/>
      <c r="F13" s="2"/>
      <c r="G13" s="2"/>
      <c r="H13" s="2"/>
      <c r="I13" s="22"/>
      <c r="J13" s="2"/>
      <c r="K13" s="2"/>
      <c r="L13" s="76"/>
      <c r="M13" s="2"/>
      <c r="N13" s="2"/>
      <c r="O13" s="2"/>
      <c r="P13" s="2"/>
      <c r="Q13" s="2"/>
      <c r="R13" s="2"/>
      <c r="S13" s="2"/>
      <c r="T13" s="2"/>
      <c r="U13" s="2"/>
      <c r="V13" s="2"/>
      <c r="W13" s="21"/>
    </row>
    <row r="14" spans="1:23" s="29" customFormat="1" x14ac:dyDescent="0.25">
      <c r="A14" s="24"/>
      <c r="B14" s="713" t="s">
        <v>5</v>
      </c>
      <c r="C14" s="713"/>
      <c r="D14" s="950"/>
      <c r="E14" s="951"/>
      <c r="F14" s="25"/>
      <c r="G14" s="26"/>
      <c r="H14" s="715" t="s">
        <v>5</v>
      </c>
      <c r="I14" s="715"/>
      <c r="J14" s="954"/>
      <c r="K14" s="1018"/>
      <c r="L14" s="77"/>
      <c r="M14" s="360"/>
      <c r="N14" s="786" t="s">
        <v>5</v>
      </c>
      <c r="O14" s="786"/>
      <c r="P14" s="960"/>
      <c r="Q14" s="961"/>
      <c r="R14" s="25"/>
      <c r="S14" s="28"/>
      <c r="T14" s="784" t="s">
        <v>5</v>
      </c>
      <c r="U14" s="784"/>
      <c r="V14" s="941"/>
      <c r="W14" s="942"/>
    </row>
    <row r="15" spans="1:23" x14ac:dyDescent="0.25">
      <c r="A15" s="30">
        <f>E4</f>
        <v>0.375</v>
      </c>
      <c r="B15" s="31" t="str">
        <f>B9</f>
        <v>Equipe 1</v>
      </c>
      <c r="C15" s="31" t="str">
        <f>B10</f>
        <v>Equipe 2</v>
      </c>
      <c r="D15" s="952"/>
      <c r="E15" s="953"/>
      <c r="F15" s="2"/>
      <c r="G15" s="32">
        <f>A15</f>
        <v>0.375</v>
      </c>
      <c r="H15" s="33" t="str">
        <f>H9</f>
        <v>Equipe 5</v>
      </c>
      <c r="I15" s="33" t="str">
        <f>H10</f>
        <v>Equipe 6</v>
      </c>
      <c r="J15" s="956"/>
      <c r="K15" s="1019"/>
      <c r="L15" s="76"/>
      <c r="M15" s="361">
        <f>E4</f>
        <v>0.375</v>
      </c>
      <c r="N15" s="35" t="str">
        <f>N9</f>
        <v>Equipe 9</v>
      </c>
      <c r="O15" s="35" t="str">
        <f>N10</f>
        <v>Equipe 10</v>
      </c>
      <c r="P15" s="962"/>
      <c r="Q15" s="963"/>
      <c r="R15" s="2"/>
      <c r="S15" s="36">
        <f>M15</f>
        <v>0.375</v>
      </c>
      <c r="T15" s="37" t="str">
        <f>T9</f>
        <v>Equipe 13</v>
      </c>
      <c r="U15" s="37" t="str">
        <f>T10</f>
        <v>Equipe 14</v>
      </c>
      <c r="V15" s="943"/>
      <c r="W15" s="944"/>
    </row>
    <row r="16" spans="1:23" ht="15.75" thickBot="1" x14ac:dyDescent="0.3">
      <c r="A16" s="38">
        <f>A15+$J$6+R5</f>
        <v>0.38541666666666663</v>
      </c>
      <c r="B16" s="39" t="str">
        <f>B11</f>
        <v>Equipe 3</v>
      </c>
      <c r="C16" s="39" t="str">
        <f>B12</f>
        <v>Equipe 4</v>
      </c>
      <c r="D16" s="972"/>
      <c r="E16" s="973"/>
      <c r="F16" s="2"/>
      <c r="G16" s="40">
        <f>A16</f>
        <v>0.38541666666666663</v>
      </c>
      <c r="H16" s="41" t="str">
        <f>H11</f>
        <v>Equipe 7</v>
      </c>
      <c r="I16" s="41" t="str">
        <f>H12</f>
        <v>Equipe 8</v>
      </c>
      <c r="J16" s="958"/>
      <c r="K16" s="1020"/>
      <c r="L16" s="76"/>
      <c r="M16" s="362">
        <f>G16</f>
        <v>0.38541666666666663</v>
      </c>
      <c r="N16" s="43" t="str">
        <f>N11</f>
        <v>Equipe 11</v>
      </c>
      <c r="O16" s="43" t="str">
        <f>N12</f>
        <v>Equipe 12</v>
      </c>
      <c r="P16" s="964"/>
      <c r="Q16" s="965"/>
      <c r="R16" s="2"/>
      <c r="S16" s="44">
        <f>A16</f>
        <v>0.38541666666666663</v>
      </c>
      <c r="T16" s="45" t="str">
        <f>T11</f>
        <v>Equipe 15</v>
      </c>
      <c r="U16" s="45" t="str">
        <f>T12</f>
        <v>Equipe 16</v>
      </c>
      <c r="V16" s="945"/>
      <c r="W16" s="946"/>
    </row>
    <row r="17" spans="1:24" ht="5.0999999999999996" customHeight="1" thickBot="1" x14ac:dyDescent="0.3">
      <c r="A17" s="19"/>
      <c r="B17" s="2"/>
      <c r="C17" s="2"/>
      <c r="D17" s="411"/>
      <c r="E17" s="411"/>
      <c r="F17" s="2"/>
      <c r="G17" s="2"/>
      <c r="H17" s="2"/>
      <c r="I17" s="47"/>
      <c r="J17" s="411"/>
      <c r="K17" s="411"/>
      <c r="L17" s="76"/>
      <c r="M17" s="2"/>
      <c r="N17" s="2"/>
      <c r="O17" s="2"/>
      <c r="P17" s="411"/>
      <c r="Q17" s="411"/>
      <c r="R17" s="2"/>
      <c r="S17" s="2"/>
      <c r="T17" s="2"/>
      <c r="U17" s="2"/>
      <c r="V17" s="411"/>
      <c r="W17" s="412"/>
    </row>
    <row r="18" spans="1:24" s="29" customFormat="1" x14ac:dyDescent="0.25">
      <c r="A18" s="24"/>
      <c r="B18" s="713" t="s">
        <v>6</v>
      </c>
      <c r="C18" s="713"/>
      <c r="D18" s="950"/>
      <c r="E18" s="951"/>
      <c r="F18" s="25"/>
      <c r="G18" s="26"/>
      <c r="H18" s="715" t="s">
        <v>6</v>
      </c>
      <c r="I18" s="715"/>
      <c r="J18" s="954"/>
      <c r="K18" s="1018"/>
      <c r="L18" s="77"/>
      <c r="M18" s="360"/>
      <c r="N18" s="786" t="s">
        <v>6</v>
      </c>
      <c r="O18" s="786"/>
      <c r="P18" s="960"/>
      <c r="Q18" s="961"/>
      <c r="R18" s="25"/>
      <c r="S18" s="28"/>
      <c r="T18" s="784" t="s">
        <v>6</v>
      </c>
      <c r="U18" s="784"/>
      <c r="V18" s="941"/>
      <c r="W18" s="942"/>
    </row>
    <row r="19" spans="1:24" x14ac:dyDescent="0.25">
      <c r="A19" s="30">
        <f>S16+$J$6+R5</f>
        <v>0.39583333333333326</v>
      </c>
      <c r="B19" s="31" t="str">
        <f>B9</f>
        <v>Equipe 1</v>
      </c>
      <c r="C19" s="31" t="str">
        <f>B11</f>
        <v>Equipe 3</v>
      </c>
      <c r="D19" s="952"/>
      <c r="E19" s="953"/>
      <c r="F19" s="2"/>
      <c r="G19" s="32">
        <f>A19</f>
        <v>0.39583333333333326</v>
      </c>
      <c r="H19" s="33" t="str">
        <f>H9</f>
        <v>Equipe 5</v>
      </c>
      <c r="I19" s="33" t="str">
        <f>H11</f>
        <v>Equipe 7</v>
      </c>
      <c r="J19" s="956"/>
      <c r="K19" s="1019"/>
      <c r="L19" s="76"/>
      <c r="M19" s="361">
        <f>A19</f>
        <v>0.39583333333333326</v>
      </c>
      <c r="N19" s="35" t="str">
        <f>N9</f>
        <v>Equipe 9</v>
      </c>
      <c r="O19" s="35" t="str">
        <f>N11</f>
        <v>Equipe 11</v>
      </c>
      <c r="P19" s="962"/>
      <c r="Q19" s="963"/>
      <c r="R19" s="2"/>
      <c r="S19" s="36">
        <f>A19</f>
        <v>0.39583333333333326</v>
      </c>
      <c r="T19" s="37" t="str">
        <f>T9</f>
        <v>Equipe 13</v>
      </c>
      <c r="U19" s="37" t="str">
        <f>T11</f>
        <v>Equipe 15</v>
      </c>
      <c r="V19" s="943"/>
      <c r="W19" s="944"/>
    </row>
    <row r="20" spans="1:24" ht="15.75" thickBot="1" x14ac:dyDescent="0.3">
      <c r="A20" s="38">
        <f>A19+$J$6+R5</f>
        <v>0.40624999999999989</v>
      </c>
      <c r="B20" s="39" t="str">
        <f>B10</f>
        <v>Equipe 2</v>
      </c>
      <c r="C20" s="39" t="str">
        <f>B12</f>
        <v>Equipe 4</v>
      </c>
      <c r="D20" s="972"/>
      <c r="E20" s="973"/>
      <c r="F20" s="2"/>
      <c r="G20" s="40">
        <f>A20</f>
        <v>0.40624999999999989</v>
      </c>
      <c r="H20" s="41" t="str">
        <f>H10</f>
        <v>Equipe 6</v>
      </c>
      <c r="I20" s="41" t="str">
        <f>H12</f>
        <v>Equipe 8</v>
      </c>
      <c r="J20" s="958"/>
      <c r="K20" s="1020"/>
      <c r="L20" s="76"/>
      <c r="M20" s="362">
        <f>A20</f>
        <v>0.40624999999999989</v>
      </c>
      <c r="N20" s="43" t="str">
        <f>N10</f>
        <v>Equipe 10</v>
      </c>
      <c r="O20" s="43" t="str">
        <f>N12</f>
        <v>Equipe 12</v>
      </c>
      <c r="P20" s="964"/>
      <c r="Q20" s="965"/>
      <c r="R20" s="2"/>
      <c r="S20" s="44">
        <f>A20</f>
        <v>0.40624999999999989</v>
      </c>
      <c r="T20" s="45" t="str">
        <f>T10</f>
        <v>Equipe 14</v>
      </c>
      <c r="U20" s="45" t="str">
        <f>T12</f>
        <v>Equipe 16</v>
      </c>
      <c r="V20" s="945"/>
      <c r="W20" s="946"/>
    </row>
    <row r="21" spans="1:24" ht="5.0999999999999996" customHeight="1" thickBot="1" x14ac:dyDescent="0.3">
      <c r="A21" s="19"/>
      <c r="B21" s="2"/>
      <c r="C21" s="2"/>
      <c r="D21" s="411"/>
      <c r="E21" s="411"/>
      <c r="F21" s="2"/>
      <c r="G21" s="2"/>
      <c r="H21" s="2"/>
      <c r="I21" s="47"/>
      <c r="J21" s="411"/>
      <c r="K21" s="411"/>
      <c r="L21" s="76"/>
      <c r="M21" s="2"/>
      <c r="N21" s="2"/>
      <c r="O21" s="2"/>
      <c r="P21" s="411"/>
      <c r="Q21" s="411"/>
      <c r="R21" s="2"/>
      <c r="S21" s="2"/>
      <c r="T21" s="2"/>
      <c r="U21" s="2"/>
      <c r="V21" s="411"/>
      <c r="W21" s="412"/>
    </row>
    <row r="22" spans="1:24" s="29" customFormat="1" x14ac:dyDescent="0.25">
      <c r="A22" s="24"/>
      <c r="B22" s="713" t="s">
        <v>7</v>
      </c>
      <c r="C22" s="713"/>
      <c r="D22" s="950"/>
      <c r="E22" s="951"/>
      <c r="F22" s="25"/>
      <c r="G22" s="26"/>
      <c r="H22" s="715" t="s">
        <v>7</v>
      </c>
      <c r="I22" s="715"/>
      <c r="J22" s="954"/>
      <c r="K22" s="1018"/>
      <c r="L22" s="77"/>
      <c r="M22" s="360"/>
      <c r="N22" s="786" t="s">
        <v>7</v>
      </c>
      <c r="O22" s="786"/>
      <c r="P22" s="960"/>
      <c r="Q22" s="961"/>
      <c r="R22" s="25"/>
      <c r="S22" s="28"/>
      <c r="T22" s="784" t="s">
        <v>7</v>
      </c>
      <c r="U22" s="784"/>
      <c r="V22" s="941"/>
      <c r="W22" s="942"/>
    </row>
    <row r="23" spans="1:24" x14ac:dyDescent="0.25">
      <c r="A23" s="30">
        <f>S20+$J$6+R5</f>
        <v>0.41666666666666652</v>
      </c>
      <c r="B23" s="31" t="str">
        <f>B9</f>
        <v>Equipe 1</v>
      </c>
      <c r="C23" s="31" t="str">
        <f>B12</f>
        <v>Equipe 4</v>
      </c>
      <c r="D23" s="952"/>
      <c r="E23" s="953"/>
      <c r="F23" s="2"/>
      <c r="G23" s="32">
        <f>A23</f>
        <v>0.41666666666666652</v>
      </c>
      <c r="H23" s="33" t="str">
        <f>H9</f>
        <v>Equipe 5</v>
      </c>
      <c r="I23" s="33" t="str">
        <f>H12</f>
        <v>Equipe 8</v>
      </c>
      <c r="J23" s="956"/>
      <c r="K23" s="1019"/>
      <c r="L23" s="76"/>
      <c r="M23" s="361">
        <f>A23</f>
        <v>0.41666666666666652</v>
      </c>
      <c r="N23" s="35" t="str">
        <f>N9</f>
        <v>Equipe 9</v>
      </c>
      <c r="O23" s="35" t="str">
        <f>N12</f>
        <v>Equipe 12</v>
      </c>
      <c r="P23" s="962"/>
      <c r="Q23" s="963"/>
      <c r="R23" s="2"/>
      <c r="S23" s="36">
        <f>A23</f>
        <v>0.41666666666666652</v>
      </c>
      <c r="T23" s="37" t="str">
        <f>T9</f>
        <v>Equipe 13</v>
      </c>
      <c r="U23" s="37" t="str">
        <f>T12</f>
        <v>Equipe 16</v>
      </c>
      <c r="V23" s="943"/>
      <c r="W23" s="944"/>
    </row>
    <row r="24" spans="1:24" ht="15.75" thickBot="1" x14ac:dyDescent="0.3">
      <c r="A24" s="38">
        <f>A23+$J$6+R5</f>
        <v>0.42708333333333315</v>
      </c>
      <c r="B24" s="39" t="str">
        <f>B10</f>
        <v>Equipe 2</v>
      </c>
      <c r="C24" s="39" t="str">
        <f>B11</f>
        <v>Equipe 3</v>
      </c>
      <c r="D24" s="972"/>
      <c r="E24" s="973"/>
      <c r="F24" s="47"/>
      <c r="G24" s="40">
        <f>A24</f>
        <v>0.42708333333333315</v>
      </c>
      <c r="H24" s="41" t="str">
        <f>H10</f>
        <v>Equipe 6</v>
      </c>
      <c r="I24" s="41" t="str">
        <f>H11</f>
        <v>Equipe 7</v>
      </c>
      <c r="J24" s="958"/>
      <c r="K24" s="1020"/>
      <c r="L24" s="78"/>
      <c r="M24" s="362">
        <f>A24</f>
        <v>0.42708333333333315</v>
      </c>
      <c r="N24" s="43" t="str">
        <f>N10</f>
        <v>Equipe 10</v>
      </c>
      <c r="O24" s="43" t="str">
        <f>N11</f>
        <v>Equipe 11</v>
      </c>
      <c r="P24" s="964"/>
      <c r="Q24" s="965"/>
      <c r="R24" s="47"/>
      <c r="S24" s="44">
        <f>A24</f>
        <v>0.42708333333333315</v>
      </c>
      <c r="T24" s="45" t="str">
        <f>T10</f>
        <v>Equipe 14</v>
      </c>
      <c r="U24" s="45" t="str">
        <f>T11</f>
        <v>Equipe 15</v>
      </c>
      <c r="V24" s="945"/>
      <c r="W24" s="946"/>
    </row>
    <row r="25" spans="1:24" ht="5.0999999999999996" customHeight="1" thickBot="1" x14ac:dyDescent="0.3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73"/>
      <c r="L25" s="89"/>
      <c r="M25" s="120"/>
      <c r="N25" s="119"/>
      <c r="O25" s="119"/>
      <c r="P25" s="173"/>
      <c r="Q25" s="173"/>
      <c r="R25" s="89"/>
      <c r="S25" s="93"/>
      <c r="T25" s="428"/>
      <c r="U25" s="428"/>
      <c r="V25" s="116"/>
      <c r="W25" s="117"/>
    </row>
    <row r="26" spans="1:24" ht="24.95" customHeight="1" thickBot="1" x14ac:dyDescent="0.3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4"/>
    </row>
    <row r="27" spans="1:24" ht="16.350000000000001" customHeight="1" thickBot="1" x14ac:dyDescent="0.3">
      <c r="A27" s="701" t="s">
        <v>83</v>
      </c>
      <c r="B27" s="685"/>
      <c r="C27" s="685"/>
      <c r="D27" s="685"/>
      <c r="E27" s="685"/>
      <c r="F27" s="685"/>
      <c r="G27" s="685"/>
      <c r="H27" s="685"/>
      <c r="I27" s="410" t="s">
        <v>18</v>
      </c>
      <c r="J27" s="782">
        <v>6.9444444444444441E-3</v>
      </c>
      <c r="K27" s="782"/>
      <c r="L27" s="782"/>
      <c r="M27" s="425" t="s">
        <v>17</v>
      </c>
      <c r="N27" s="410"/>
      <c r="O27" s="686"/>
      <c r="P27" s="686"/>
      <c r="Q27" s="686"/>
      <c r="R27" s="686"/>
      <c r="S27" s="686"/>
      <c r="T27" s="686"/>
      <c r="U27" s="686"/>
      <c r="V27" s="686"/>
      <c r="W27" s="781"/>
      <c r="X27" s="74"/>
    </row>
    <row r="28" spans="1:24" ht="16.5" thickBot="1" x14ac:dyDescent="0.3">
      <c r="A28" s="780" t="s">
        <v>87</v>
      </c>
      <c r="B28" s="686"/>
      <c r="C28" s="686"/>
      <c r="D28" s="686"/>
      <c r="E28" s="781"/>
      <c r="F28" s="139"/>
      <c r="G28" s="780" t="s">
        <v>88</v>
      </c>
      <c r="H28" s="686"/>
      <c r="I28" s="686"/>
      <c r="J28" s="686"/>
      <c r="K28" s="781"/>
      <c r="L28" s="446"/>
      <c r="M28" s="780" t="s">
        <v>250</v>
      </c>
      <c r="N28" s="686"/>
      <c r="O28" s="686"/>
      <c r="P28" s="686"/>
      <c r="Q28" s="781"/>
      <c r="R28" s="534"/>
      <c r="S28" s="780" t="s">
        <v>251</v>
      </c>
      <c r="T28" s="686"/>
      <c r="U28" s="686"/>
      <c r="V28" s="686"/>
      <c r="W28" s="781"/>
    </row>
    <row r="29" spans="1:24" ht="14.45" customHeight="1" x14ac:dyDescent="0.25">
      <c r="A29" s="6"/>
      <c r="B29" s="744" t="s">
        <v>41</v>
      </c>
      <c r="C29" s="745"/>
      <c r="D29" s="976"/>
      <c r="E29" s="977"/>
      <c r="F29" s="102"/>
      <c r="G29" s="7"/>
      <c r="H29" s="747" t="s">
        <v>42</v>
      </c>
      <c r="I29" s="748"/>
      <c r="J29" s="209"/>
      <c r="K29" s="373"/>
      <c r="L29" s="76"/>
      <c r="M29" s="375"/>
      <c r="N29" s="852" t="s">
        <v>43</v>
      </c>
      <c r="O29" s="937"/>
      <c r="P29" s="986"/>
      <c r="Q29" s="987"/>
      <c r="R29" s="2"/>
      <c r="S29" s="83"/>
      <c r="T29" s="850" t="s">
        <v>55</v>
      </c>
      <c r="U29" s="938"/>
      <c r="V29" s="966"/>
      <c r="W29" s="967"/>
    </row>
    <row r="30" spans="1:24" ht="14.45" customHeight="1" x14ac:dyDescent="0.25">
      <c r="A30" s="10">
        <v>1</v>
      </c>
      <c r="B30" s="905" t="str">
        <f>B9</f>
        <v>Equipe 1</v>
      </c>
      <c r="C30" s="933"/>
      <c r="D30" s="976"/>
      <c r="E30" s="977"/>
      <c r="F30" s="103"/>
      <c r="G30" s="11">
        <v>1</v>
      </c>
      <c r="H30" s="907" t="str">
        <f>H9</f>
        <v>Equipe 5</v>
      </c>
      <c r="I30" s="934"/>
      <c r="J30" s="209"/>
      <c r="K30" s="373"/>
      <c r="L30" s="76"/>
      <c r="M30" s="357">
        <v>1</v>
      </c>
      <c r="N30" s="844" t="str">
        <f>N9</f>
        <v>Equipe 9</v>
      </c>
      <c r="O30" s="845"/>
      <c r="P30" s="988"/>
      <c r="Q30" s="989"/>
      <c r="R30" s="2"/>
      <c r="S30" s="13">
        <v>1</v>
      </c>
      <c r="T30" s="835" t="str">
        <f>T9</f>
        <v>Equipe 13</v>
      </c>
      <c r="U30" s="836"/>
      <c r="V30" s="968"/>
      <c r="W30" s="969"/>
    </row>
    <row r="31" spans="1:24" ht="14.45" customHeight="1" x14ac:dyDescent="0.25">
      <c r="A31" s="10">
        <v>2</v>
      </c>
      <c r="B31" s="905" t="str">
        <f>H10</f>
        <v>Equipe 6</v>
      </c>
      <c r="C31" s="933"/>
      <c r="D31" s="976"/>
      <c r="E31" s="977"/>
      <c r="F31" s="103"/>
      <c r="G31" s="11">
        <v>2</v>
      </c>
      <c r="H31" s="907" t="str">
        <f>N10</f>
        <v>Equipe 10</v>
      </c>
      <c r="I31" s="934"/>
      <c r="J31" s="209"/>
      <c r="K31" s="373"/>
      <c r="L31" s="76"/>
      <c r="M31" s="357">
        <v>2</v>
      </c>
      <c r="N31" s="844" t="str">
        <f>T10</f>
        <v>Equipe 14</v>
      </c>
      <c r="O31" s="845"/>
      <c r="P31" s="988"/>
      <c r="Q31" s="989"/>
      <c r="R31" s="2"/>
      <c r="S31" s="13">
        <v>2</v>
      </c>
      <c r="T31" s="835" t="str">
        <f>B10</f>
        <v>Equipe 2</v>
      </c>
      <c r="U31" s="836"/>
      <c r="V31" s="968"/>
      <c r="W31" s="969"/>
    </row>
    <row r="32" spans="1:24" ht="14.45" customHeight="1" x14ac:dyDescent="0.25">
      <c r="A32" s="10">
        <v>3</v>
      </c>
      <c r="B32" s="905" t="str">
        <f>N11</f>
        <v>Equipe 11</v>
      </c>
      <c r="C32" s="933"/>
      <c r="D32" s="976"/>
      <c r="E32" s="977"/>
      <c r="F32" s="103"/>
      <c r="G32" s="11">
        <v>3</v>
      </c>
      <c r="H32" s="907" t="str">
        <f>T11</f>
        <v>Equipe 15</v>
      </c>
      <c r="I32" s="934"/>
      <c r="J32" s="209"/>
      <c r="K32" s="373"/>
      <c r="L32" s="76"/>
      <c r="M32" s="357">
        <v>3</v>
      </c>
      <c r="N32" s="844" t="str">
        <f>B11</f>
        <v>Equipe 3</v>
      </c>
      <c r="O32" s="845"/>
      <c r="P32" s="988"/>
      <c r="Q32" s="989"/>
      <c r="R32" s="2"/>
      <c r="S32" s="13">
        <v>3</v>
      </c>
      <c r="T32" s="835" t="str">
        <f>H11</f>
        <v>Equipe 7</v>
      </c>
      <c r="U32" s="836"/>
      <c r="V32" s="968"/>
      <c r="W32" s="969"/>
    </row>
    <row r="33" spans="1:23" ht="14.45" customHeight="1" thickBot="1" x14ac:dyDescent="0.3">
      <c r="A33" s="15">
        <v>4</v>
      </c>
      <c r="B33" s="901" t="str">
        <f>T12</f>
        <v>Equipe 16</v>
      </c>
      <c r="C33" s="939"/>
      <c r="D33" s="978"/>
      <c r="E33" s="979"/>
      <c r="F33" s="103"/>
      <c r="G33" s="16">
        <v>4</v>
      </c>
      <c r="H33" s="903" t="str">
        <f>B12</f>
        <v>Equipe 4</v>
      </c>
      <c r="I33" s="940"/>
      <c r="J33" s="211"/>
      <c r="K33" s="374"/>
      <c r="L33" s="76"/>
      <c r="M33" s="359">
        <v>4</v>
      </c>
      <c r="N33" s="846" t="str">
        <f>H12</f>
        <v>Equipe 8</v>
      </c>
      <c r="O33" s="847"/>
      <c r="P33" s="990"/>
      <c r="Q33" s="991"/>
      <c r="R33" s="2"/>
      <c r="S33" s="18">
        <v>4</v>
      </c>
      <c r="T33" s="837" t="str">
        <f>N12</f>
        <v>Equipe 12</v>
      </c>
      <c r="U33" s="838"/>
      <c r="V33" s="970"/>
      <c r="W33" s="971"/>
    </row>
    <row r="34" spans="1:23" s="29" customFormat="1" ht="5.0999999999999996" customHeight="1" thickBot="1" x14ac:dyDescent="0.3">
      <c r="A34" s="19"/>
      <c r="B34" s="2"/>
      <c r="C34" s="2"/>
      <c r="D34" s="2"/>
      <c r="E34" s="2"/>
      <c r="F34" s="2"/>
      <c r="G34" s="2"/>
      <c r="H34" s="2"/>
      <c r="I34" s="22"/>
      <c r="J34" s="2"/>
      <c r="K34" s="2"/>
      <c r="L34" s="76"/>
      <c r="M34" s="2"/>
      <c r="N34" s="2"/>
      <c r="O34" s="2"/>
      <c r="P34" s="2"/>
      <c r="Q34" s="2"/>
      <c r="R34" s="2"/>
      <c r="S34" s="2"/>
      <c r="T34" s="2"/>
      <c r="U34" s="2"/>
      <c r="V34" s="2"/>
      <c r="W34" s="21"/>
    </row>
    <row r="35" spans="1:23" ht="14.45" customHeight="1" x14ac:dyDescent="0.25">
      <c r="A35" s="24"/>
      <c r="B35" s="713" t="s">
        <v>10</v>
      </c>
      <c r="C35" s="713"/>
      <c r="D35" s="950"/>
      <c r="E35" s="951"/>
      <c r="F35" s="25"/>
      <c r="G35" s="26"/>
      <c r="H35" s="715" t="s">
        <v>10</v>
      </c>
      <c r="I35" s="715"/>
      <c r="J35" s="954"/>
      <c r="K35" s="1018"/>
      <c r="L35" s="77"/>
      <c r="M35" s="360"/>
      <c r="N35" s="786" t="s">
        <v>10</v>
      </c>
      <c r="O35" s="786"/>
      <c r="P35" s="960"/>
      <c r="Q35" s="961"/>
      <c r="R35" s="25"/>
      <c r="S35" s="28"/>
      <c r="T35" s="784" t="s">
        <v>10</v>
      </c>
      <c r="U35" s="784"/>
      <c r="V35" s="941"/>
      <c r="W35" s="942"/>
    </row>
    <row r="36" spans="1:23" ht="14.45" customHeight="1" x14ac:dyDescent="0.25">
      <c r="A36" s="30">
        <f>S24+J6+R5+L5</f>
        <v>0.45138888888888867</v>
      </c>
      <c r="B36" s="31" t="str">
        <f>B30</f>
        <v>Equipe 1</v>
      </c>
      <c r="C36" s="31" t="str">
        <f>B31</f>
        <v>Equipe 6</v>
      </c>
      <c r="D36" s="952"/>
      <c r="E36" s="953"/>
      <c r="F36" s="2"/>
      <c r="G36" s="32">
        <f>A36</f>
        <v>0.45138888888888867</v>
      </c>
      <c r="H36" s="33" t="str">
        <f>H30</f>
        <v>Equipe 5</v>
      </c>
      <c r="I36" s="33" t="str">
        <f>H31</f>
        <v>Equipe 10</v>
      </c>
      <c r="J36" s="956"/>
      <c r="K36" s="1019"/>
      <c r="L36" s="76"/>
      <c r="M36" s="361">
        <f>A36</f>
        <v>0.45138888888888867</v>
      </c>
      <c r="N36" s="35" t="str">
        <f>N30</f>
        <v>Equipe 9</v>
      </c>
      <c r="O36" s="35" t="str">
        <f>N31</f>
        <v>Equipe 14</v>
      </c>
      <c r="P36" s="962"/>
      <c r="Q36" s="963"/>
      <c r="R36" s="2"/>
      <c r="S36" s="36">
        <f>M36</f>
        <v>0.45138888888888867</v>
      </c>
      <c r="T36" s="37" t="str">
        <f>T30</f>
        <v>Equipe 13</v>
      </c>
      <c r="U36" s="37" t="str">
        <f>T31</f>
        <v>Equipe 2</v>
      </c>
      <c r="V36" s="943"/>
      <c r="W36" s="944"/>
    </row>
    <row r="37" spans="1:23" ht="14.45" customHeight="1" thickBot="1" x14ac:dyDescent="0.3">
      <c r="A37" s="38">
        <f>A36+$J$27+R5</f>
        <v>0.4618055555555553</v>
      </c>
      <c r="B37" s="39" t="str">
        <f>B32</f>
        <v>Equipe 11</v>
      </c>
      <c r="C37" s="39" t="str">
        <f>B33</f>
        <v>Equipe 16</v>
      </c>
      <c r="D37" s="972"/>
      <c r="E37" s="973"/>
      <c r="F37" s="2"/>
      <c r="G37" s="40">
        <f>A37</f>
        <v>0.4618055555555553</v>
      </c>
      <c r="H37" s="41" t="str">
        <f>H32</f>
        <v>Equipe 15</v>
      </c>
      <c r="I37" s="41" t="str">
        <f>H33</f>
        <v>Equipe 4</v>
      </c>
      <c r="J37" s="958"/>
      <c r="K37" s="1020"/>
      <c r="L37" s="76"/>
      <c r="M37" s="362">
        <f>A37</f>
        <v>0.4618055555555553</v>
      </c>
      <c r="N37" s="43" t="str">
        <f>N32</f>
        <v>Equipe 3</v>
      </c>
      <c r="O37" s="43" t="str">
        <f>N33</f>
        <v>Equipe 8</v>
      </c>
      <c r="P37" s="964"/>
      <c r="Q37" s="965"/>
      <c r="R37" s="2"/>
      <c r="S37" s="44">
        <f>A37</f>
        <v>0.4618055555555553</v>
      </c>
      <c r="T37" s="45" t="str">
        <f>T32</f>
        <v>Equipe 7</v>
      </c>
      <c r="U37" s="45" t="str">
        <f>T33</f>
        <v>Equipe 12</v>
      </c>
      <c r="V37" s="945"/>
      <c r="W37" s="946"/>
    </row>
    <row r="38" spans="1:23" ht="5.0999999999999996" customHeight="1" thickBot="1" x14ac:dyDescent="0.3">
      <c r="A38" s="19"/>
      <c r="B38" s="2"/>
      <c r="C38" s="2"/>
      <c r="D38" s="411"/>
      <c r="E38" s="411"/>
      <c r="F38" s="2"/>
      <c r="G38" s="2"/>
      <c r="H38" s="2"/>
      <c r="I38" s="47"/>
      <c r="J38" s="411"/>
      <c r="K38" s="411"/>
      <c r="L38" s="76"/>
      <c r="M38" s="2"/>
      <c r="N38" s="2"/>
      <c r="O38" s="2"/>
      <c r="P38" s="411"/>
      <c r="Q38" s="411"/>
      <c r="R38" s="2"/>
      <c r="S38" s="2"/>
      <c r="T38" s="2"/>
      <c r="U38" s="2"/>
      <c r="V38" s="411"/>
      <c r="W38" s="412"/>
    </row>
    <row r="39" spans="1:23" ht="14.45" customHeight="1" x14ac:dyDescent="0.25">
      <c r="A39" s="24"/>
      <c r="B39" s="713" t="s">
        <v>11</v>
      </c>
      <c r="C39" s="713"/>
      <c r="D39" s="950"/>
      <c r="E39" s="951"/>
      <c r="F39" s="25"/>
      <c r="G39" s="26"/>
      <c r="H39" s="715" t="s">
        <v>11</v>
      </c>
      <c r="I39" s="715"/>
      <c r="J39" s="954"/>
      <c r="K39" s="1018"/>
      <c r="L39" s="77"/>
      <c r="M39" s="360"/>
      <c r="N39" s="786" t="s">
        <v>11</v>
      </c>
      <c r="O39" s="786"/>
      <c r="P39" s="960"/>
      <c r="Q39" s="961"/>
      <c r="R39" s="25"/>
      <c r="S39" s="28"/>
      <c r="T39" s="784" t="s">
        <v>11</v>
      </c>
      <c r="U39" s="784"/>
      <c r="V39" s="941"/>
      <c r="W39" s="942"/>
    </row>
    <row r="40" spans="1:23" ht="14.45" customHeight="1" x14ac:dyDescent="0.25">
      <c r="A40" s="30">
        <f>S37+$J$27+R5</f>
        <v>0.47222222222222193</v>
      </c>
      <c r="B40" s="31" t="str">
        <f>B30</f>
        <v>Equipe 1</v>
      </c>
      <c r="C40" s="31" t="str">
        <f>B32</f>
        <v>Equipe 11</v>
      </c>
      <c r="D40" s="952"/>
      <c r="E40" s="953"/>
      <c r="F40" s="2"/>
      <c r="G40" s="32">
        <f>A40</f>
        <v>0.47222222222222193</v>
      </c>
      <c r="H40" s="33" t="str">
        <f>H30</f>
        <v>Equipe 5</v>
      </c>
      <c r="I40" s="33" t="str">
        <f>H32</f>
        <v>Equipe 15</v>
      </c>
      <c r="J40" s="956"/>
      <c r="K40" s="1019"/>
      <c r="L40" s="76"/>
      <c r="M40" s="361">
        <f>A40</f>
        <v>0.47222222222222193</v>
      </c>
      <c r="N40" s="35" t="str">
        <f>N30</f>
        <v>Equipe 9</v>
      </c>
      <c r="O40" s="35" t="str">
        <f>N32</f>
        <v>Equipe 3</v>
      </c>
      <c r="P40" s="962"/>
      <c r="Q40" s="963"/>
      <c r="R40" s="2"/>
      <c r="S40" s="36">
        <f>A40</f>
        <v>0.47222222222222193</v>
      </c>
      <c r="T40" s="37" t="str">
        <f>T30</f>
        <v>Equipe 13</v>
      </c>
      <c r="U40" s="37" t="str">
        <f>T32</f>
        <v>Equipe 7</v>
      </c>
      <c r="V40" s="943"/>
      <c r="W40" s="944"/>
    </row>
    <row r="41" spans="1:23" ht="14.45" customHeight="1" thickBot="1" x14ac:dyDescent="0.3">
      <c r="A41" s="38">
        <f>A40+$J$27+R5</f>
        <v>0.48263888888888856</v>
      </c>
      <c r="B41" s="39" t="str">
        <f>B31</f>
        <v>Equipe 6</v>
      </c>
      <c r="C41" s="39" t="str">
        <f>B33</f>
        <v>Equipe 16</v>
      </c>
      <c r="D41" s="972"/>
      <c r="E41" s="973"/>
      <c r="F41" s="2"/>
      <c r="G41" s="40">
        <f>A41</f>
        <v>0.48263888888888856</v>
      </c>
      <c r="H41" s="41" t="str">
        <f>H31</f>
        <v>Equipe 10</v>
      </c>
      <c r="I41" s="41" t="str">
        <f>H33</f>
        <v>Equipe 4</v>
      </c>
      <c r="J41" s="958"/>
      <c r="K41" s="1020"/>
      <c r="L41" s="76"/>
      <c r="M41" s="362">
        <f>A41</f>
        <v>0.48263888888888856</v>
      </c>
      <c r="N41" s="43" t="str">
        <f>N31</f>
        <v>Equipe 14</v>
      </c>
      <c r="O41" s="43" t="str">
        <f>N33</f>
        <v>Equipe 8</v>
      </c>
      <c r="P41" s="964"/>
      <c r="Q41" s="965"/>
      <c r="R41" s="2"/>
      <c r="S41" s="44">
        <f>A41</f>
        <v>0.48263888888888856</v>
      </c>
      <c r="T41" s="45" t="str">
        <f>T31</f>
        <v>Equipe 2</v>
      </c>
      <c r="U41" s="45" t="str">
        <f>T33</f>
        <v>Equipe 12</v>
      </c>
      <c r="V41" s="945"/>
      <c r="W41" s="946"/>
    </row>
    <row r="42" spans="1:23" ht="5.0999999999999996" customHeight="1" thickBot="1" x14ac:dyDescent="0.3">
      <c r="A42" s="19"/>
      <c r="B42" s="2"/>
      <c r="C42" s="2"/>
      <c r="D42" s="411"/>
      <c r="E42" s="411"/>
      <c r="F42" s="2"/>
      <c r="G42" s="2"/>
      <c r="H42" s="2"/>
      <c r="I42" s="47"/>
      <c r="J42" s="411"/>
      <c r="K42" s="411"/>
      <c r="L42" s="76"/>
      <c r="M42" s="2"/>
      <c r="N42" s="2"/>
      <c r="O42" s="2"/>
      <c r="P42" s="411"/>
      <c r="Q42" s="411"/>
      <c r="R42" s="2"/>
      <c r="S42" s="2"/>
      <c r="T42" s="2"/>
      <c r="U42" s="2"/>
      <c r="V42" s="411"/>
      <c r="W42" s="412"/>
    </row>
    <row r="43" spans="1:23" ht="14.45" customHeight="1" x14ac:dyDescent="0.25">
      <c r="A43" s="24"/>
      <c r="B43" s="713" t="s">
        <v>12</v>
      </c>
      <c r="C43" s="713"/>
      <c r="D43" s="950"/>
      <c r="E43" s="951"/>
      <c r="F43" s="25"/>
      <c r="G43" s="26"/>
      <c r="H43" s="715" t="s">
        <v>12</v>
      </c>
      <c r="I43" s="715"/>
      <c r="J43" s="954"/>
      <c r="K43" s="1018"/>
      <c r="L43" s="77"/>
      <c r="M43" s="360"/>
      <c r="N43" s="786" t="s">
        <v>12</v>
      </c>
      <c r="O43" s="786"/>
      <c r="P43" s="960"/>
      <c r="Q43" s="961"/>
      <c r="R43" s="25"/>
      <c r="S43" s="28"/>
      <c r="T43" s="784" t="s">
        <v>12</v>
      </c>
      <c r="U43" s="784"/>
      <c r="V43" s="941"/>
      <c r="W43" s="942"/>
    </row>
    <row r="44" spans="1:23" ht="14.45" customHeight="1" x14ac:dyDescent="0.25">
      <c r="A44" s="30">
        <f>S41+$J$27+R5</f>
        <v>0.49305555555555519</v>
      </c>
      <c r="B44" s="31" t="str">
        <f>B30</f>
        <v>Equipe 1</v>
      </c>
      <c r="C44" s="31" t="str">
        <f>B33</f>
        <v>Equipe 16</v>
      </c>
      <c r="D44" s="952"/>
      <c r="E44" s="953"/>
      <c r="F44" s="2"/>
      <c r="G44" s="32">
        <f>A44</f>
        <v>0.49305555555555519</v>
      </c>
      <c r="H44" s="33" t="str">
        <f>H30</f>
        <v>Equipe 5</v>
      </c>
      <c r="I44" s="33" t="str">
        <f>H33</f>
        <v>Equipe 4</v>
      </c>
      <c r="J44" s="956"/>
      <c r="K44" s="1019"/>
      <c r="L44" s="76"/>
      <c r="M44" s="361">
        <f>A44</f>
        <v>0.49305555555555519</v>
      </c>
      <c r="N44" s="35" t="str">
        <f>N30</f>
        <v>Equipe 9</v>
      </c>
      <c r="O44" s="35" t="str">
        <f>N33</f>
        <v>Equipe 8</v>
      </c>
      <c r="P44" s="962"/>
      <c r="Q44" s="963"/>
      <c r="R44" s="2"/>
      <c r="S44" s="36">
        <f>A44</f>
        <v>0.49305555555555519</v>
      </c>
      <c r="T44" s="37" t="str">
        <f>T30</f>
        <v>Equipe 13</v>
      </c>
      <c r="U44" s="37" t="str">
        <f>T33</f>
        <v>Equipe 12</v>
      </c>
      <c r="V44" s="943"/>
      <c r="W44" s="944"/>
    </row>
    <row r="45" spans="1:23" ht="14.45" customHeight="1" thickBot="1" x14ac:dyDescent="0.3">
      <c r="A45" s="38">
        <f>A44+$J$27+R5</f>
        <v>0.50347222222222188</v>
      </c>
      <c r="B45" s="39" t="str">
        <f>B31</f>
        <v>Equipe 6</v>
      </c>
      <c r="C45" s="39" t="str">
        <f>B32</f>
        <v>Equipe 11</v>
      </c>
      <c r="D45" s="972"/>
      <c r="E45" s="973"/>
      <c r="F45" s="47"/>
      <c r="G45" s="40">
        <f>A45</f>
        <v>0.50347222222222188</v>
      </c>
      <c r="H45" s="41" t="str">
        <f>H31</f>
        <v>Equipe 10</v>
      </c>
      <c r="I45" s="41" t="str">
        <f>H32</f>
        <v>Equipe 15</v>
      </c>
      <c r="J45" s="958"/>
      <c r="K45" s="1020"/>
      <c r="L45" s="78"/>
      <c r="M45" s="362">
        <f>A45</f>
        <v>0.50347222222222188</v>
      </c>
      <c r="N45" s="43" t="str">
        <f>N31</f>
        <v>Equipe 14</v>
      </c>
      <c r="O45" s="43" t="str">
        <f>N32</f>
        <v>Equipe 3</v>
      </c>
      <c r="P45" s="964"/>
      <c r="Q45" s="965"/>
      <c r="R45" s="47"/>
      <c r="S45" s="44">
        <f>A45</f>
        <v>0.50347222222222188</v>
      </c>
      <c r="T45" s="45" t="str">
        <f>T31</f>
        <v>Equipe 2</v>
      </c>
      <c r="U45" s="45" t="str">
        <f>T32</f>
        <v>Equipe 7</v>
      </c>
      <c r="V45" s="945"/>
      <c r="W45" s="946"/>
    </row>
    <row r="46" spans="1:23" ht="5.0999999999999996" customHeight="1" thickBot="1" x14ac:dyDescent="0.3">
      <c r="A46" s="1058"/>
      <c r="B46" s="1059"/>
      <c r="C46" s="1059"/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60"/>
    </row>
    <row r="47" spans="1:23" x14ac:dyDescent="0.25">
      <c r="U47" s="932" t="s">
        <v>239</v>
      </c>
      <c r="V47" s="932"/>
      <c r="W47" s="932"/>
    </row>
  </sheetData>
  <sheetProtection sheet="1" scenarios="1" selectLockedCells="1"/>
  <mergeCells count="119">
    <mergeCell ref="T43:U43"/>
    <mergeCell ref="V43:W45"/>
    <mergeCell ref="A46:W46"/>
    <mergeCell ref="U47:W47"/>
    <mergeCell ref="B43:C43"/>
    <mergeCell ref="D43:E45"/>
    <mergeCell ref="H43:I43"/>
    <mergeCell ref="J43:K45"/>
    <mergeCell ref="N43:O43"/>
    <mergeCell ref="P43:Q45"/>
    <mergeCell ref="B35:C35"/>
    <mergeCell ref="D35:E37"/>
    <mergeCell ref="H35:I35"/>
    <mergeCell ref="J35:K37"/>
    <mergeCell ref="N35:O35"/>
    <mergeCell ref="P35:Q37"/>
    <mergeCell ref="T35:U35"/>
    <mergeCell ref="V35:W37"/>
    <mergeCell ref="B39:C39"/>
    <mergeCell ref="D39:E41"/>
    <mergeCell ref="H39:I39"/>
    <mergeCell ref="J39:K41"/>
    <mergeCell ref="N39:O39"/>
    <mergeCell ref="P39:Q41"/>
    <mergeCell ref="T39:U39"/>
    <mergeCell ref="V39:W41"/>
    <mergeCell ref="V29:W33"/>
    <mergeCell ref="B30:C30"/>
    <mergeCell ref="H30:I30"/>
    <mergeCell ref="N30:O30"/>
    <mergeCell ref="T30:U30"/>
    <mergeCell ref="B31:C31"/>
    <mergeCell ref="H31:I31"/>
    <mergeCell ref="N31:O31"/>
    <mergeCell ref="T31:U31"/>
    <mergeCell ref="B32:C32"/>
    <mergeCell ref="B29:C29"/>
    <mergeCell ref="D29:E33"/>
    <mergeCell ref="H29:I29"/>
    <mergeCell ref="N29:O29"/>
    <mergeCell ref="P29:Q33"/>
    <mergeCell ref="T29:U29"/>
    <mergeCell ref="H32:I32"/>
    <mergeCell ref="N32:O32"/>
    <mergeCell ref="T32:U32"/>
    <mergeCell ref="B33:C33"/>
    <mergeCell ref="H33:I33"/>
    <mergeCell ref="N33:O33"/>
    <mergeCell ref="T33:U33"/>
    <mergeCell ref="T22:U22"/>
    <mergeCell ref="V22:W24"/>
    <mergeCell ref="A27:H27"/>
    <mergeCell ref="J27:L27"/>
    <mergeCell ref="O27:W27"/>
    <mergeCell ref="B22:C22"/>
    <mergeCell ref="D22:E24"/>
    <mergeCell ref="H22:I22"/>
    <mergeCell ref="J22:K24"/>
    <mergeCell ref="N22:O22"/>
    <mergeCell ref="P22:Q24"/>
    <mergeCell ref="T14:U14"/>
    <mergeCell ref="V14:W16"/>
    <mergeCell ref="B18:C18"/>
    <mergeCell ref="D18:E20"/>
    <mergeCell ref="H18:I18"/>
    <mergeCell ref="J18:K20"/>
    <mergeCell ref="N18:O18"/>
    <mergeCell ref="P18:Q20"/>
    <mergeCell ref="T18:U18"/>
    <mergeCell ref="V18:W20"/>
    <mergeCell ref="B14:C14"/>
    <mergeCell ref="D14:E16"/>
    <mergeCell ref="H14:I14"/>
    <mergeCell ref="J14:K16"/>
    <mergeCell ref="N14:O14"/>
    <mergeCell ref="P14:Q16"/>
    <mergeCell ref="T8:U8"/>
    <mergeCell ref="V8:W12"/>
    <mergeCell ref="B9:C9"/>
    <mergeCell ref="D9:E12"/>
    <mergeCell ref="H9:I9"/>
    <mergeCell ref="N9:O9"/>
    <mergeCell ref="T9:U9"/>
    <mergeCell ref="B10:C10"/>
    <mergeCell ref="H10:I10"/>
    <mergeCell ref="N10:O10"/>
    <mergeCell ref="T10:U10"/>
    <mergeCell ref="B11:C11"/>
    <mergeCell ref="H11:I11"/>
    <mergeCell ref="N11:O11"/>
    <mergeCell ref="T11:U11"/>
    <mergeCell ref="B12:C12"/>
    <mergeCell ref="H12:I12"/>
    <mergeCell ref="N12:O12"/>
    <mergeCell ref="T12:U12"/>
    <mergeCell ref="A7:E7"/>
    <mergeCell ref="G7:K7"/>
    <mergeCell ref="M7:Q7"/>
    <mergeCell ref="S7:W7"/>
    <mergeCell ref="A28:E28"/>
    <mergeCell ref="G28:K28"/>
    <mergeCell ref="M28:Q28"/>
    <mergeCell ref="S28:W28"/>
    <mergeCell ref="A1:T1"/>
    <mergeCell ref="U1:W5"/>
    <mergeCell ref="E4:G4"/>
    <mergeCell ref="I4:K4"/>
    <mergeCell ref="L4:M4"/>
    <mergeCell ref="E5:G5"/>
    <mergeCell ref="L5:M5"/>
    <mergeCell ref="R5:S5"/>
    <mergeCell ref="A6:H6"/>
    <mergeCell ref="J6:L6"/>
    <mergeCell ref="O6:W6"/>
    <mergeCell ref="B8:E8"/>
    <mergeCell ref="H8:I8"/>
    <mergeCell ref="J8:K12"/>
    <mergeCell ref="N8:O8"/>
    <mergeCell ref="P8:Q12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6" orientation="landscape" horizontalDpi="300" verticalDpi="300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J145"/>
  <sheetViews>
    <sheetView showGridLines="0" topLeftCell="B1" zoomScaleNormal="100" workbookViewId="0">
      <selection activeCell="B1" sqref="B1:AG1"/>
    </sheetView>
  </sheetViews>
  <sheetFormatPr baseColWidth="10" defaultColWidth="11.5703125" defaultRowHeight="15" x14ac:dyDescent="0.25"/>
  <cols>
    <col min="1" max="1" width="6.5703125" style="1" customWidth="1"/>
    <col min="2" max="2" width="5.85546875" style="1" customWidth="1"/>
    <col min="3" max="4" width="12.85546875" style="1" customWidth="1"/>
    <col min="5" max="6" width="3.42578125" style="1" customWidth="1"/>
    <col min="7" max="7" width="6.5703125" style="1" customWidth="1"/>
    <col min="8" max="8" width="5.85546875" style="1" customWidth="1"/>
    <col min="9" max="10" width="12.85546875" style="1" customWidth="1"/>
    <col min="11" max="12" width="3.42578125" style="1" customWidth="1"/>
    <col min="13" max="13" width="6.5703125" style="1" customWidth="1"/>
    <col min="14" max="14" width="5.85546875" style="1" customWidth="1"/>
    <col min="15" max="16" width="12.85546875" style="1" customWidth="1"/>
    <col min="17" max="18" width="3.42578125" style="1" customWidth="1"/>
    <col min="19" max="19" width="6.5703125" style="1" customWidth="1"/>
    <col min="20" max="20" width="5.85546875" style="1" customWidth="1"/>
    <col min="21" max="22" width="12.85546875" style="1" customWidth="1"/>
    <col min="23" max="24" width="3.42578125" style="1" customWidth="1"/>
    <col min="25" max="25" width="6.5703125" style="1" customWidth="1"/>
    <col min="26" max="26" width="5.85546875" style="1" customWidth="1"/>
    <col min="27" max="28" width="12.85546875" style="1" customWidth="1"/>
    <col min="29" max="30" width="3.42578125" style="1" customWidth="1"/>
    <col min="31" max="31" width="6.5703125" style="1" customWidth="1"/>
    <col min="32" max="32" width="5.85546875" style="1" customWidth="1"/>
    <col min="33" max="34" width="12.85546875" style="1" customWidth="1"/>
    <col min="35" max="36" width="3.42578125" style="1" customWidth="1"/>
    <col min="37" max="39" width="5.85546875" style="1" customWidth="1"/>
    <col min="40" max="16384" width="11.5703125" style="1"/>
  </cols>
  <sheetData>
    <row r="1" spans="1:36" ht="24.95" customHeight="1" x14ac:dyDescent="0.35">
      <c r="A1" s="447"/>
      <c r="B1" s="735" t="s">
        <v>346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820"/>
      <c r="AH1" s="691"/>
      <c r="AI1" s="691"/>
      <c r="AJ1" s="692"/>
    </row>
    <row r="2" spans="1:36" ht="24.95" customHeight="1" x14ac:dyDescent="0.25">
      <c r="A2" s="19"/>
      <c r="B2" s="448" t="s">
        <v>51</v>
      </c>
      <c r="C2" s="104"/>
      <c r="D2" s="104"/>
      <c r="E2" s="104"/>
      <c r="F2" s="104"/>
      <c r="G2" s="310"/>
      <c r="H2" s="104"/>
      <c r="I2" s="104"/>
      <c r="J2" s="104"/>
      <c r="K2" s="104"/>
      <c r="L2" s="104"/>
      <c r="M2" s="104"/>
      <c r="N2" s="104"/>
      <c r="O2" s="104"/>
      <c r="P2" s="218"/>
      <c r="Q2" s="2"/>
      <c r="R2" s="2"/>
      <c r="S2" s="2"/>
      <c r="T2" s="2"/>
      <c r="U2" s="2"/>
      <c r="V2" s="200"/>
      <c r="W2" s="200"/>
      <c r="X2" s="200"/>
      <c r="Y2" s="104"/>
      <c r="Z2" s="104"/>
      <c r="AA2" s="104"/>
      <c r="AB2" s="218"/>
      <c r="AC2" s="2"/>
      <c r="AD2" s="2"/>
      <c r="AE2" s="2"/>
      <c r="AF2" s="2"/>
      <c r="AG2" s="21"/>
      <c r="AH2" s="694"/>
      <c r="AI2" s="694"/>
      <c r="AJ2" s="695"/>
    </row>
    <row r="3" spans="1:36" ht="24.95" customHeight="1" thickBot="1" x14ac:dyDescent="0.3">
      <c r="A3" s="19"/>
      <c r="B3" s="737" t="s">
        <v>333</v>
      </c>
      <c r="C3" s="737"/>
      <c r="D3" s="737"/>
      <c r="E3" s="737"/>
      <c r="F3" s="737"/>
      <c r="G3" s="737"/>
      <c r="H3" s="737"/>
      <c r="I3" s="737"/>
      <c r="J3" s="737"/>
      <c r="K3" s="104"/>
      <c r="L3" s="104"/>
      <c r="M3" s="104"/>
      <c r="N3" s="104"/>
      <c r="O3" s="104"/>
      <c r="P3" s="2"/>
      <c r="Q3" s="2"/>
      <c r="R3" s="2"/>
      <c r="S3" s="2"/>
      <c r="T3" s="2"/>
      <c r="U3" s="2"/>
      <c r="V3" s="200"/>
      <c r="W3" s="200"/>
      <c r="X3" s="200"/>
      <c r="Y3" s="104"/>
      <c r="Z3" s="104"/>
      <c r="AA3" s="104"/>
      <c r="AB3" s="2"/>
      <c r="AC3" s="2"/>
      <c r="AD3" s="2"/>
      <c r="AE3" s="2"/>
      <c r="AF3" s="2"/>
      <c r="AG3" s="21"/>
      <c r="AH3" s="694"/>
      <c r="AI3" s="694"/>
      <c r="AJ3" s="695"/>
    </row>
    <row r="4" spans="1:36" ht="24.95" customHeight="1" thickBot="1" x14ac:dyDescent="0.3">
      <c r="A4" s="19"/>
      <c r="B4" s="104" t="s">
        <v>52</v>
      </c>
      <c r="C4" s="311"/>
      <c r="D4" s="311"/>
      <c r="E4" s="311"/>
      <c r="F4" s="738">
        <v>0.375</v>
      </c>
      <c r="G4" s="739"/>
      <c r="H4" s="740"/>
      <c r="I4" s="523"/>
      <c r="J4" s="741" t="s">
        <v>167</v>
      </c>
      <c r="K4" s="741"/>
      <c r="L4" s="741"/>
      <c r="M4" s="742">
        <f>(3*K6)+(5*K33)</f>
        <v>6.6666666666666666E-2</v>
      </c>
      <c r="N4" s="742"/>
      <c r="O4" s="264" t="s">
        <v>33</v>
      </c>
      <c r="P4" s="319"/>
      <c r="Q4" s="200"/>
      <c r="R4" s="200"/>
      <c r="S4" s="200"/>
      <c r="T4" s="200"/>
      <c r="U4" s="200"/>
      <c r="V4" s="200"/>
      <c r="W4" s="200"/>
      <c r="X4" s="200"/>
      <c r="Y4" s="475"/>
      <c r="Z4" s="475"/>
      <c r="AA4" s="264"/>
      <c r="AB4" s="319"/>
      <c r="AC4" s="200"/>
      <c r="AD4" s="200"/>
      <c r="AE4" s="200"/>
      <c r="AF4" s="200"/>
      <c r="AG4" s="201"/>
      <c r="AH4" s="694"/>
      <c r="AI4" s="694"/>
      <c r="AJ4" s="695"/>
    </row>
    <row r="5" spans="1:36" ht="24.95" customHeight="1" thickBot="1" x14ac:dyDescent="0.3">
      <c r="A5" s="449"/>
      <c r="B5" s="215" t="s">
        <v>32</v>
      </c>
      <c r="C5" s="215"/>
      <c r="D5" s="215"/>
      <c r="E5" s="215"/>
      <c r="F5" s="810">
        <f>B66-B14+K33</f>
        <v>0.30486111111111075</v>
      </c>
      <c r="G5" s="810"/>
      <c r="H5" s="810"/>
      <c r="I5" s="215"/>
      <c r="J5" s="216" t="s">
        <v>79</v>
      </c>
      <c r="K5" s="216"/>
      <c r="L5" s="216"/>
      <c r="M5" s="687">
        <v>2.8472222222222222E-2</v>
      </c>
      <c r="N5" s="688"/>
      <c r="O5" s="215"/>
      <c r="P5" s="216" t="s">
        <v>242</v>
      </c>
      <c r="Q5" s="216"/>
      <c r="R5" s="216"/>
      <c r="S5" s="687">
        <v>3.472222222222222E-3</v>
      </c>
      <c r="T5" s="688"/>
      <c r="U5" s="493"/>
      <c r="V5" s="494"/>
      <c r="W5" s="494"/>
      <c r="X5" s="494"/>
      <c r="Y5" s="610"/>
      <c r="Z5" s="610"/>
      <c r="AA5" s="215"/>
      <c r="AB5" s="216"/>
      <c r="AC5" s="216"/>
      <c r="AD5" s="216"/>
      <c r="AE5" s="610"/>
      <c r="AF5" s="610"/>
      <c r="AG5" s="320"/>
      <c r="AH5" s="694"/>
      <c r="AI5" s="694"/>
      <c r="AJ5" s="695"/>
    </row>
    <row r="6" spans="1:36" ht="16.5" thickBot="1" x14ac:dyDescent="0.3">
      <c r="A6" s="106"/>
      <c r="B6" s="685" t="s">
        <v>35</v>
      </c>
      <c r="C6" s="685"/>
      <c r="D6" s="685"/>
      <c r="E6" s="685"/>
      <c r="F6" s="685"/>
      <c r="G6" s="685"/>
      <c r="H6" s="685"/>
      <c r="I6" s="685"/>
      <c r="J6" s="520" t="s">
        <v>18</v>
      </c>
      <c r="K6" s="782">
        <v>8.3333333333333332E-3</v>
      </c>
      <c r="L6" s="782"/>
      <c r="M6" s="782"/>
      <c r="N6" s="527" t="s">
        <v>17</v>
      </c>
      <c r="O6" s="520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8"/>
    </row>
    <row r="7" spans="1:36" x14ac:dyDescent="0.25">
      <c r="A7" s="19"/>
      <c r="B7" s="6"/>
      <c r="C7" s="744" t="s">
        <v>41</v>
      </c>
      <c r="D7" s="745"/>
      <c r="E7" s="744" t="s">
        <v>15</v>
      </c>
      <c r="F7" s="746"/>
      <c r="G7" s="102"/>
      <c r="H7" s="7"/>
      <c r="I7" s="747" t="s">
        <v>42</v>
      </c>
      <c r="J7" s="748"/>
      <c r="K7" s="747" t="s">
        <v>15</v>
      </c>
      <c r="L7" s="749"/>
      <c r="M7" s="76"/>
      <c r="N7" s="8"/>
      <c r="O7" s="804" t="s">
        <v>43</v>
      </c>
      <c r="P7" s="805"/>
      <c r="Q7" s="804" t="s">
        <v>15</v>
      </c>
      <c r="R7" s="806"/>
      <c r="S7" s="2"/>
      <c r="T7" s="6"/>
      <c r="U7" s="744" t="s">
        <v>55</v>
      </c>
      <c r="V7" s="745"/>
      <c r="W7" s="744" t="s">
        <v>15</v>
      </c>
      <c r="X7" s="746"/>
      <c r="Y7" s="76"/>
      <c r="Z7" s="7"/>
      <c r="AA7" s="747" t="s">
        <v>91</v>
      </c>
      <c r="AB7" s="748"/>
      <c r="AC7" s="747" t="s">
        <v>15</v>
      </c>
      <c r="AD7" s="749"/>
      <c r="AE7" s="2"/>
      <c r="AF7" s="8"/>
      <c r="AG7" s="804" t="s">
        <v>92</v>
      </c>
      <c r="AH7" s="805"/>
      <c r="AI7" s="804" t="s">
        <v>15</v>
      </c>
      <c r="AJ7" s="806"/>
    </row>
    <row r="8" spans="1:36" x14ac:dyDescent="0.25">
      <c r="A8" s="19"/>
      <c r="B8" s="10">
        <v>1</v>
      </c>
      <c r="C8" s="731" t="s">
        <v>22</v>
      </c>
      <c r="D8" s="732"/>
      <c r="E8" s="725">
        <f>B94+B98+B102+D81/1000000</f>
        <v>0</v>
      </c>
      <c r="F8" s="726"/>
      <c r="G8" s="103"/>
      <c r="H8" s="11">
        <v>1</v>
      </c>
      <c r="I8" s="727" t="s">
        <v>26</v>
      </c>
      <c r="J8" s="728"/>
      <c r="K8" s="729">
        <f>H94+H98+H102+J81/1000000</f>
        <v>0</v>
      </c>
      <c r="L8" s="730"/>
      <c r="M8" s="76"/>
      <c r="N8" s="12">
        <v>1</v>
      </c>
      <c r="O8" s="800" t="s">
        <v>37</v>
      </c>
      <c r="P8" s="801"/>
      <c r="Q8" s="802">
        <f>N94+N98+N102+P81/1000000</f>
        <v>0</v>
      </c>
      <c r="R8" s="803"/>
      <c r="S8" s="2"/>
      <c r="T8" s="10">
        <v>1</v>
      </c>
      <c r="U8" s="731" t="s">
        <v>56</v>
      </c>
      <c r="V8" s="732"/>
      <c r="W8" s="725">
        <f>T94+T98+T102+V81/1000000</f>
        <v>0</v>
      </c>
      <c r="X8" s="726"/>
      <c r="Y8" s="76"/>
      <c r="Z8" s="11">
        <v>1</v>
      </c>
      <c r="AA8" s="727" t="s">
        <v>93</v>
      </c>
      <c r="AB8" s="728"/>
      <c r="AC8" s="729">
        <f>Z94+Z98+Z102+AB81/1000000</f>
        <v>0</v>
      </c>
      <c r="AD8" s="730"/>
      <c r="AE8" s="2"/>
      <c r="AF8" s="12">
        <v>1</v>
      </c>
      <c r="AG8" s="800" t="s">
        <v>97</v>
      </c>
      <c r="AH8" s="801"/>
      <c r="AI8" s="802">
        <f>AF94+AF98+AF102+AH81/1000000</f>
        <v>0</v>
      </c>
      <c r="AJ8" s="803"/>
    </row>
    <row r="9" spans="1:36" x14ac:dyDescent="0.25">
      <c r="A9" s="19"/>
      <c r="B9" s="10">
        <v>2</v>
      </c>
      <c r="C9" s="731" t="s">
        <v>23</v>
      </c>
      <c r="D9" s="732"/>
      <c r="E9" s="725">
        <f>C94+B99+B103+D82/1000000</f>
        <v>0</v>
      </c>
      <c r="F9" s="726"/>
      <c r="G9" s="103"/>
      <c r="H9" s="11">
        <v>2</v>
      </c>
      <c r="I9" s="727" t="s">
        <v>27</v>
      </c>
      <c r="J9" s="728"/>
      <c r="K9" s="729">
        <f>I94+H99+H103+J82/1000000</f>
        <v>0</v>
      </c>
      <c r="L9" s="730"/>
      <c r="M9" s="76"/>
      <c r="N9" s="12">
        <v>2</v>
      </c>
      <c r="O9" s="800" t="s">
        <v>38</v>
      </c>
      <c r="P9" s="801"/>
      <c r="Q9" s="802">
        <f>O94+N99+N103+P82/1000000</f>
        <v>0</v>
      </c>
      <c r="R9" s="803"/>
      <c r="S9" s="2"/>
      <c r="T9" s="10">
        <v>2</v>
      </c>
      <c r="U9" s="731" t="s">
        <v>57</v>
      </c>
      <c r="V9" s="732"/>
      <c r="W9" s="725">
        <f>U94+T99+T103+V82/1000000</f>
        <v>0</v>
      </c>
      <c r="X9" s="726"/>
      <c r="Y9" s="76"/>
      <c r="Z9" s="11">
        <v>2</v>
      </c>
      <c r="AA9" s="727" t="s">
        <v>94</v>
      </c>
      <c r="AB9" s="728"/>
      <c r="AC9" s="729">
        <f>AA94+Z99+Z103+AB82/1000000</f>
        <v>0</v>
      </c>
      <c r="AD9" s="730"/>
      <c r="AE9" s="2"/>
      <c r="AF9" s="12">
        <v>2</v>
      </c>
      <c r="AG9" s="800" t="s">
        <v>98</v>
      </c>
      <c r="AH9" s="801"/>
      <c r="AI9" s="802">
        <f>AG94+AF99+AF103+AH82/1000000</f>
        <v>0</v>
      </c>
      <c r="AJ9" s="803"/>
    </row>
    <row r="10" spans="1:36" x14ac:dyDescent="0.25">
      <c r="A10" s="19"/>
      <c r="B10" s="10">
        <v>3</v>
      </c>
      <c r="C10" s="731" t="s">
        <v>24</v>
      </c>
      <c r="D10" s="732"/>
      <c r="E10" s="725">
        <f>B95+C98+C103+D83/1000000</f>
        <v>0</v>
      </c>
      <c r="F10" s="726"/>
      <c r="G10" s="103"/>
      <c r="H10" s="11">
        <v>3</v>
      </c>
      <c r="I10" s="727" t="s">
        <v>28</v>
      </c>
      <c r="J10" s="728"/>
      <c r="K10" s="729">
        <f>H95+I98+I103+J83/1000000</f>
        <v>0</v>
      </c>
      <c r="L10" s="730"/>
      <c r="M10" s="76"/>
      <c r="N10" s="12">
        <v>3</v>
      </c>
      <c r="O10" s="800" t="s">
        <v>39</v>
      </c>
      <c r="P10" s="801"/>
      <c r="Q10" s="802">
        <f>N95+O98+O103+P83/1000000</f>
        <v>0</v>
      </c>
      <c r="R10" s="803"/>
      <c r="S10" s="2"/>
      <c r="T10" s="10">
        <v>3</v>
      </c>
      <c r="U10" s="731" t="s">
        <v>58</v>
      </c>
      <c r="V10" s="732"/>
      <c r="W10" s="725">
        <f>T95+U98+U103+V83/1000000</f>
        <v>0</v>
      </c>
      <c r="X10" s="726"/>
      <c r="Y10" s="76"/>
      <c r="Z10" s="11">
        <v>3</v>
      </c>
      <c r="AA10" s="727" t="s">
        <v>95</v>
      </c>
      <c r="AB10" s="728"/>
      <c r="AC10" s="729">
        <f>Z95+AA98+AA103+AB83/1000000</f>
        <v>0</v>
      </c>
      <c r="AD10" s="730"/>
      <c r="AE10" s="2"/>
      <c r="AF10" s="12">
        <v>3</v>
      </c>
      <c r="AG10" s="800" t="s">
        <v>99</v>
      </c>
      <c r="AH10" s="801"/>
      <c r="AI10" s="802">
        <f>AF95+AG98+AG103+AH83/1000000</f>
        <v>0</v>
      </c>
      <c r="AJ10" s="803"/>
    </row>
    <row r="11" spans="1:36" ht="15.75" thickBot="1" x14ac:dyDescent="0.3">
      <c r="A11" s="19"/>
      <c r="B11" s="15">
        <v>4</v>
      </c>
      <c r="C11" s="717" t="s">
        <v>25</v>
      </c>
      <c r="D11" s="718"/>
      <c r="E11" s="719">
        <f>C95+C99+C102+D84/1000000</f>
        <v>0</v>
      </c>
      <c r="F11" s="720"/>
      <c r="G11" s="103"/>
      <c r="H11" s="16">
        <v>4</v>
      </c>
      <c r="I11" s="721" t="s">
        <v>29</v>
      </c>
      <c r="J11" s="722"/>
      <c r="K11" s="723">
        <f>I95+I99+I102+J84/1000000</f>
        <v>0</v>
      </c>
      <c r="L11" s="724"/>
      <c r="M11" s="76"/>
      <c r="N11" s="17">
        <v>4</v>
      </c>
      <c r="O11" s="792" t="s">
        <v>40</v>
      </c>
      <c r="P11" s="793"/>
      <c r="Q11" s="794">
        <f>O95+O99+O102+P84/1000000</f>
        <v>0</v>
      </c>
      <c r="R11" s="795"/>
      <c r="S11" s="2"/>
      <c r="T11" s="15">
        <v>4</v>
      </c>
      <c r="U11" s="717" t="s">
        <v>59</v>
      </c>
      <c r="V11" s="718"/>
      <c r="W11" s="719">
        <f>U95+U99+U102+V84/1000000</f>
        <v>0</v>
      </c>
      <c r="X11" s="720"/>
      <c r="Y11" s="76"/>
      <c r="Z11" s="16">
        <v>4</v>
      </c>
      <c r="AA11" s="721" t="s">
        <v>96</v>
      </c>
      <c r="AB11" s="722"/>
      <c r="AC11" s="723">
        <f>AA95+AA99+AA102+AB84/1000000</f>
        <v>0</v>
      </c>
      <c r="AD11" s="724"/>
      <c r="AE11" s="2"/>
      <c r="AF11" s="17">
        <v>4</v>
      </c>
      <c r="AG11" s="792" t="s">
        <v>100</v>
      </c>
      <c r="AH11" s="793"/>
      <c r="AI11" s="794">
        <f>AG95+AG99+AG102+AH84/1000000</f>
        <v>0</v>
      </c>
      <c r="AJ11" s="795"/>
    </row>
    <row r="12" spans="1:36" ht="5.0999999999999996" customHeight="1" thickBot="1" x14ac:dyDescent="0.3">
      <c r="A12" s="19"/>
      <c r="B12" s="2"/>
      <c r="C12" s="2"/>
      <c r="D12" s="2"/>
      <c r="E12" s="2"/>
      <c r="F12" s="2"/>
      <c r="G12" s="2"/>
      <c r="H12" s="2"/>
      <c r="I12" s="2"/>
      <c r="J12" s="22"/>
      <c r="K12" s="2"/>
      <c r="L12" s="2"/>
      <c r="M12" s="85"/>
      <c r="N12" s="2"/>
      <c r="O12" s="2"/>
      <c r="P12" s="2"/>
      <c r="Q12" s="2"/>
      <c r="R12" s="2"/>
      <c r="S12" s="2"/>
      <c r="T12" s="19"/>
      <c r="U12" s="2"/>
      <c r="V12" s="2"/>
      <c r="W12" s="2"/>
      <c r="X12" s="2"/>
      <c r="Y12" s="85"/>
      <c r="Z12" s="2"/>
      <c r="AA12" s="2"/>
      <c r="AB12" s="22"/>
      <c r="AC12" s="2"/>
      <c r="AD12" s="2"/>
      <c r="AE12" s="2"/>
      <c r="AF12" s="2"/>
      <c r="AG12" s="2"/>
      <c r="AH12" s="2"/>
      <c r="AI12" s="2"/>
      <c r="AJ12" s="21"/>
    </row>
    <row r="13" spans="1:36" s="29" customFormat="1" x14ac:dyDescent="0.25">
      <c r="A13" s="364" t="s">
        <v>253</v>
      </c>
      <c r="B13" s="24"/>
      <c r="C13" s="713" t="s">
        <v>5</v>
      </c>
      <c r="D13" s="713"/>
      <c r="E13" s="713" t="s">
        <v>16</v>
      </c>
      <c r="F13" s="714"/>
      <c r="G13" s="454" t="s">
        <v>253</v>
      </c>
      <c r="H13" s="26"/>
      <c r="I13" s="715" t="s">
        <v>5</v>
      </c>
      <c r="J13" s="715"/>
      <c r="K13" s="715" t="s">
        <v>16</v>
      </c>
      <c r="L13" s="716"/>
      <c r="M13" s="456" t="s">
        <v>253</v>
      </c>
      <c r="N13" s="27"/>
      <c r="O13" s="786" t="s">
        <v>5</v>
      </c>
      <c r="P13" s="786"/>
      <c r="Q13" s="786" t="s">
        <v>16</v>
      </c>
      <c r="R13" s="787"/>
      <c r="S13" s="364" t="s">
        <v>253</v>
      </c>
      <c r="T13" s="24"/>
      <c r="U13" s="713" t="s">
        <v>5</v>
      </c>
      <c r="V13" s="713"/>
      <c r="W13" s="713" t="s">
        <v>16</v>
      </c>
      <c r="X13" s="714"/>
      <c r="Y13" s="454" t="s">
        <v>253</v>
      </c>
      <c r="Z13" s="26"/>
      <c r="AA13" s="715" t="s">
        <v>5</v>
      </c>
      <c r="AB13" s="715"/>
      <c r="AC13" s="715" t="s">
        <v>16</v>
      </c>
      <c r="AD13" s="716"/>
      <c r="AE13" s="456" t="s">
        <v>253</v>
      </c>
      <c r="AF13" s="27"/>
      <c r="AG13" s="786" t="s">
        <v>5</v>
      </c>
      <c r="AH13" s="786"/>
      <c r="AI13" s="786" t="s">
        <v>16</v>
      </c>
      <c r="AJ13" s="787"/>
    </row>
    <row r="14" spans="1:36" x14ac:dyDescent="0.25">
      <c r="A14" s="479">
        <v>1</v>
      </c>
      <c r="B14" s="30">
        <f>F4</f>
        <v>0.375</v>
      </c>
      <c r="C14" s="31" t="str">
        <f>C8</f>
        <v>Equipe 1</v>
      </c>
      <c r="D14" s="31" t="str">
        <f>C9</f>
        <v>Equipe 2</v>
      </c>
      <c r="E14" s="53"/>
      <c r="F14" s="54"/>
      <c r="G14" s="459">
        <v>3</v>
      </c>
      <c r="H14" s="32">
        <f>B14</f>
        <v>0.375</v>
      </c>
      <c r="I14" s="33" t="str">
        <f>I8</f>
        <v>Equipe 5</v>
      </c>
      <c r="J14" s="33" t="str">
        <f>I9</f>
        <v>Equipe 6</v>
      </c>
      <c r="K14" s="57"/>
      <c r="L14" s="58"/>
      <c r="M14" s="462">
        <v>1</v>
      </c>
      <c r="N14" s="34">
        <f>H15+K6+S5</f>
        <v>0.38680555555555557</v>
      </c>
      <c r="O14" s="35" t="str">
        <f>O8</f>
        <v>Equipe 9</v>
      </c>
      <c r="P14" s="35" t="str">
        <f>O9</f>
        <v>Equipe 10</v>
      </c>
      <c r="Q14" s="61"/>
      <c r="R14" s="62"/>
      <c r="S14" s="479">
        <v>3</v>
      </c>
      <c r="T14" s="30">
        <f>N14</f>
        <v>0.38680555555555557</v>
      </c>
      <c r="U14" s="31" t="str">
        <f>U8</f>
        <v>Equipe 13</v>
      </c>
      <c r="V14" s="31" t="str">
        <f>U9</f>
        <v>Equipe 14</v>
      </c>
      <c r="W14" s="53"/>
      <c r="X14" s="54"/>
      <c r="Y14" s="459">
        <v>1</v>
      </c>
      <c r="Z14" s="32">
        <f>T15+K6+S5</f>
        <v>0.39861111111111114</v>
      </c>
      <c r="AA14" s="33" t="str">
        <f>AA8</f>
        <v>Equipe 17</v>
      </c>
      <c r="AB14" s="33" t="str">
        <f>AA9</f>
        <v>Equipe 18</v>
      </c>
      <c r="AC14" s="57"/>
      <c r="AD14" s="58"/>
      <c r="AE14" s="462">
        <v>3</v>
      </c>
      <c r="AF14" s="34">
        <f>Z14</f>
        <v>0.39861111111111114</v>
      </c>
      <c r="AG14" s="35" t="str">
        <f>AG8</f>
        <v>Equipe 21</v>
      </c>
      <c r="AH14" s="35" t="str">
        <f>AG9</f>
        <v>Equipe 22</v>
      </c>
      <c r="AI14" s="61"/>
      <c r="AJ14" s="62"/>
    </row>
    <row r="15" spans="1:36" ht="15.75" thickBot="1" x14ac:dyDescent="0.3">
      <c r="A15" s="480">
        <v>2</v>
      </c>
      <c r="B15" s="38">
        <f>B14</f>
        <v>0.375</v>
      </c>
      <c r="C15" s="39" t="str">
        <f>C10</f>
        <v>Equipe 3</v>
      </c>
      <c r="D15" s="39" t="str">
        <f>C11</f>
        <v>Equipe 4</v>
      </c>
      <c r="E15" s="55"/>
      <c r="F15" s="56"/>
      <c r="G15" s="465">
        <v>4</v>
      </c>
      <c r="H15" s="40">
        <f>H14</f>
        <v>0.375</v>
      </c>
      <c r="I15" s="41" t="str">
        <f>I10</f>
        <v>Equipe 7</v>
      </c>
      <c r="J15" s="41" t="str">
        <f>I11</f>
        <v>Equipe 8</v>
      </c>
      <c r="K15" s="59"/>
      <c r="L15" s="60"/>
      <c r="M15" s="467">
        <v>2</v>
      </c>
      <c r="N15" s="42">
        <f>N14</f>
        <v>0.38680555555555557</v>
      </c>
      <c r="O15" s="43" t="str">
        <f>O10</f>
        <v>Equipe 11</v>
      </c>
      <c r="P15" s="43" t="str">
        <f>O11</f>
        <v>Equipe 12</v>
      </c>
      <c r="Q15" s="63"/>
      <c r="R15" s="64"/>
      <c r="S15" s="480">
        <v>4</v>
      </c>
      <c r="T15" s="38">
        <f>N15</f>
        <v>0.38680555555555557</v>
      </c>
      <c r="U15" s="39" t="str">
        <f>U10</f>
        <v>Equipe 15</v>
      </c>
      <c r="V15" s="39" t="str">
        <f>U11</f>
        <v>Equipe 16</v>
      </c>
      <c r="W15" s="55"/>
      <c r="X15" s="56"/>
      <c r="Y15" s="465">
        <v>2</v>
      </c>
      <c r="Z15" s="40">
        <f>Z14</f>
        <v>0.39861111111111114</v>
      </c>
      <c r="AA15" s="41" t="str">
        <f>AA10</f>
        <v>Equipe 19</v>
      </c>
      <c r="AB15" s="41" t="str">
        <f>AA11</f>
        <v>Equipe 20</v>
      </c>
      <c r="AC15" s="59"/>
      <c r="AD15" s="60"/>
      <c r="AE15" s="467">
        <v>4</v>
      </c>
      <c r="AF15" s="42">
        <f>AF14</f>
        <v>0.39861111111111114</v>
      </c>
      <c r="AG15" s="43" t="str">
        <f>AG10</f>
        <v>Equipe 23</v>
      </c>
      <c r="AH15" s="43" t="str">
        <f>AG11</f>
        <v>Equipe 24</v>
      </c>
      <c r="AI15" s="63"/>
      <c r="AJ15" s="64"/>
    </row>
    <row r="16" spans="1:36" ht="5.0999999999999996" customHeight="1" thickBot="1" x14ac:dyDescent="0.3">
      <c r="A16" s="19"/>
      <c r="B16" s="2"/>
      <c r="C16" s="2"/>
      <c r="D16" s="2"/>
      <c r="E16" s="521"/>
      <c r="F16" s="521"/>
      <c r="G16" s="2"/>
      <c r="H16" s="2"/>
      <c r="I16" s="2"/>
      <c r="J16" s="47"/>
      <c r="K16" s="521"/>
      <c r="L16" s="521"/>
      <c r="M16" s="85"/>
      <c r="N16" s="2"/>
      <c r="O16" s="2"/>
      <c r="P16" s="2"/>
      <c r="Q16" s="521"/>
      <c r="R16" s="521"/>
      <c r="S16" s="19"/>
      <c r="T16" s="19"/>
      <c r="U16" s="2"/>
      <c r="V16" s="2"/>
      <c r="W16" s="521"/>
      <c r="X16" s="521"/>
      <c r="Y16" s="2"/>
      <c r="Z16" s="2"/>
      <c r="AA16" s="2"/>
      <c r="AB16" s="47"/>
      <c r="AC16" s="521"/>
      <c r="AD16" s="521"/>
      <c r="AE16" s="85"/>
      <c r="AF16" s="2"/>
      <c r="AG16" s="2"/>
      <c r="AH16" s="2"/>
      <c r="AI16" s="521"/>
      <c r="AJ16" s="522"/>
    </row>
    <row r="17" spans="1:36" s="29" customFormat="1" x14ac:dyDescent="0.25">
      <c r="A17" s="364" t="s">
        <v>253</v>
      </c>
      <c r="B17" s="24"/>
      <c r="C17" s="713" t="s">
        <v>6</v>
      </c>
      <c r="D17" s="713"/>
      <c r="E17" s="713" t="s">
        <v>16</v>
      </c>
      <c r="F17" s="714"/>
      <c r="G17" s="454" t="s">
        <v>253</v>
      </c>
      <c r="H17" s="26"/>
      <c r="I17" s="715" t="s">
        <v>6</v>
      </c>
      <c r="J17" s="715"/>
      <c r="K17" s="715" t="s">
        <v>16</v>
      </c>
      <c r="L17" s="716"/>
      <c r="M17" s="456" t="s">
        <v>253</v>
      </c>
      <c r="N17" s="27"/>
      <c r="O17" s="786" t="s">
        <v>6</v>
      </c>
      <c r="P17" s="786"/>
      <c r="Q17" s="786" t="s">
        <v>16</v>
      </c>
      <c r="R17" s="787"/>
      <c r="S17" s="364" t="s">
        <v>253</v>
      </c>
      <c r="T17" s="24"/>
      <c r="U17" s="713" t="s">
        <v>6</v>
      </c>
      <c r="V17" s="713"/>
      <c r="W17" s="713" t="s">
        <v>16</v>
      </c>
      <c r="X17" s="714"/>
      <c r="Y17" s="454" t="s">
        <v>253</v>
      </c>
      <c r="Z17" s="26"/>
      <c r="AA17" s="715" t="s">
        <v>6</v>
      </c>
      <c r="AB17" s="715"/>
      <c r="AC17" s="715" t="s">
        <v>16</v>
      </c>
      <c r="AD17" s="716"/>
      <c r="AE17" s="456" t="s">
        <v>253</v>
      </c>
      <c r="AF17" s="27"/>
      <c r="AG17" s="786" t="s">
        <v>6</v>
      </c>
      <c r="AH17" s="786"/>
      <c r="AI17" s="786" t="s">
        <v>16</v>
      </c>
      <c r="AJ17" s="787"/>
    </row>
    <row r="18" spans="1:36" x14ac:dyDescent="0.25">
      <c r="A18" s="479">
        <v>1</v>
      </c>
      <c r="B18" s="30">
        <f>AF15+K6+S5</f>
        <v>0.41041666666666671</v>
      </c>
      <c r="C18" s="31" t="str">
        <f>C8</f>
        <v>Equipe 1</v>
      </c>
      <c r="D18" s="31" t="str">
        <f>C10</f>
        <v>Equipe 3</v>
      </c>
      <c r="E18" s="53"/>
      <c r="F18" s="54"/>
      <c r="G18" s="459">
        <v>3</v>
      </c>
      <c r="H18" s="32">
        <f>B18</f>
        <v>0.41041666666666671</v>
      </c>
      <c r="I18" s="33" t="str">
        <f>I8</f>
        <v>Equipe 5</v>
      </c>
      <c r="J18" s="33" t="str">
        <f>I10</f>
        <v>Equipe 7</v>
      </c>
      <c r="K18" s="57"/>
      <c r="L18" s="58"/>
      <c r="M18" s="462">
        <v>1</v>
      </c>
      <c r="N18" s="34">
        <f>H19+K6+S5</f>
        <v>0.42222222222222228</v>
      </c>
      <c r="O18" s="35" t="str">
        <f>O8</f>
        <v>Equipe 9</v>
      </c>
      <c r="P18" s="35" t="str">
        <f>O10</f>
        <v>Equipe 11</v>
      </c>
      <c r="Q18" s="61"/>
      <c r="R18" s="62"/>
      <c r="S18" s="479">
        <v>3</v>
      </c>
      <c r="T18" s="30">
        <f>N18</f>
        <v>0.42222222222222228</v>
      </c>
      <c r="U18" s="31" t="str">
        <f>U8</f>
        <v>Equipe 13</v>
      </c>
      <c r="V18" s="31" t="str">
        <f>U10</f>
        <v>Equipe 15</v>
      </c>
      <c r="W18" s="53"/>
      <c r="X18" s="54"/>
      <c r="Y18" s="459">
        <v>1</v>
      </c>
      <c r="Z18" s="32">
        <f>T19+K6+S5</f>
        <v>0.43402777777777785</v>
      </c>
      <c r="AA18" s="33" t="str">
        <f>AA8</f>
        <v>Equipe 17</v>
      </c>
      <c r="AB18" s="33" t="str">
        <f>AA10</f>
        <v>Equipe 19</v>
      </c>
      <c r="AC18" s="57"/>
      <c r="AD18" s="58"/>
      <c r="AE18" s="462">
        <v>3</v>
      </c>
      <c r="AF18" s="34">
        <f>Z19</f>
        <v>0.43402777777777785</v>
      </c>
      <c r="AG18" s="35" t="str">
        <f>AG8</f>
        <v>Equipe 21</v>
      </c>
      <c r="AH18" s="35" t="str">
        <f>AG10</f>
        <v>Equipe 23</v>
      </c>
      <c r="AI18" s="61"/>
      <c r="AJ18" s="62"/>
    </row>
    <row r="19" spans="1:36" ht="15.75" thickBot="1" x14ac:dyDescent="0.3">
      <c r="A19" s="480">
        <v>2</v>
      </c>
      <c r="B19" s="38">
        <f>B18</f>
        <v>0.41041666666666671</v>
      </c>
      <c r="C19" s="39" t="str">
        <f>C9</f>
        <v>Equipe 2</v>
      </c>
      <c r="D19" s="39" t="str">
        <f>C11</f>
        <v>Equipe 4</v>
      </c>
      <c r="E19" s="55"/>
      <c r="F19" s="56"/>
      <c r="G19" s="470">
        <v>4</v>
      </c>
      <c r="H19" s="40">
        <f>B18</f>
        <v>0.41041666666666671</v>
      </c>
      <c r="I19" s="41" t="str">
        <f>I9</f>
        <v>Equipe 6</v>
      </c>
      <c r="J19" s="41" t="str">
        <f>I11</f>
        <v>Equipe 8</v>
      </c>
      <c r="K19" s="59"/>
      <c r="L19" s="60"/>
      <c r="M19" s="467">
        <v>2</v>
      </c>
      <c r="N19" s="42">
        <f>N18</f>
        <v>0.42222222222222228</v>
      </c>
      <c r="O19" s="43" t="str">
        <f>O9</f>
        <v>Equipe 10</v>
      </c>
      <c r="P19" s="43" t="str">
        <f>O11</f>
        <v>Equipe 12</v>
      </c>
      <c r="Q19" s="63"/>
      <c r="R19" s="64"/>
      <c r="S19" s="480">
        <v>4</v>
      </c>
      <c r="T19" s="38">
        <f>T18</f>
        <v>0.42222222222222228</v>
      </c>
      <c r="U19" s="39" t="str">
        <f>U9</f>
        <v>Equipe 14</v>
      </c>
      <c r="V19" s="39" t="str">
        <f>U11</f>
        <v>Equipe 16</v>
      </c>
      <c r="W19" s="55"/>
      <c r="X19" s="56"/>
      <c r="Y19" s="470">
        <v>2</v>
      </c>
      <c r="Z19" s="40">
        <f>Z18</f>
        <v>0.43402777777777785</v>
      </c>
      <c r="AA19" s="41" t="str">
        <f>AA9</f>
        <v>Equipe 18</v>
      </c>
      <c r="AB19" s="41" t="str">
        <f>AA11</f>
        <v>Equipe 20</v>
      </c>
      <c r="AC19" s="59"/>
      <c r="AD19" s="60"/>
      <c r="AE19" s="467">
        <v>4</v>
      </c>
      <c r="AF19" s="42">
        <f>Z19</f>
        <v>0.43402777777777785</v>
      </c>
      <c r="AG19" s="43" t="str">
        <f>AG9</f>
        <v>Equipe 22</v>
      </c>
      <c r="AH19" s="43" t="str">
        <f>AG11</f>
        <v>Equipe 24</v>
      </c>
      <c r="AI19" s="63"/>
      <c r="AJ19" s="64"/>
    </row>
    <row r="20" spans="1:36" ht="5.0999999999999996" customHeight="1" thickBot="1" x14ac:dyDescent="0.3">
      <c r="A20" s="19"/>
      <c r="B20" s="2"/>
      <c r="C20" s="2"/>
      <c r="D20" s="2"/>
      <c r="E20" s="521"/>
      <c r="F20" s="521"/>
      <c r="G20" s="471"/>
      <c r="H20" s="2"/>
      <c r="I20" s="2"/>
      <c r="J20" s="47"/>
      <c r="K20" s="521"/>
      <c r="L20" s="521"/>
      <c r="M20" s="85"/>
      <c r="N20" s="2"/>
      <c r="O20" s="2"/>
      <c r="P20" s="2"/>
      <c r="Q20" s="521"/>
      <c r="R20" s="521"/>
      <c r="S20" s="19"/>
      <c r="T20" s="19"/>
      <c r="U20" s="2"/>
      <c r="V20" s="2"/>
      <c r="W20" s="521"/>
      <c r="X20" s="521"/>
      <c r="Y20" s="471"/>
      <c r="Z20" s="2"/>
      <c r="AA20" s="2"/>
      <c r="AB20" s="47"/>
      <c r="AC20" s="521"/>
      <c r="AD20" s="521"/>
      <c r="AE20" s="85"/>
      <c r="AF20" s="2"/>
      <c r="AG20" s="2"/>
      <c r="AH20" s="2"/>
      <c r="AI20" s="521"/>
      <c r="AJ20" s="522"/>
    </row>
    <row r="21" spans="1:36" s="29" customFormat="1" x14ac:dyDescent="0.25">
      <c r="A21" s="364" t="s">
        <v>253</v>
      </c>
      <c r="B21" s="24"/>
      <c r="C21" s="713" t="s">
        <v>7</v>
      </c>
      <c r="D21" s="713"/>
      <c r="E21" s="713" t="s">
        <v>16</v>
      </c>
      <c r="F21" s="714"/>
      <c r="G21" s="454" t="s">
        <v>253</v>
      </c>
      <c r="H21" s="26"/>
      <c r="I21" s="715" t="s">
        <v>7</v>
      </c>
      <c r="J21" s="715"/>
      <c r="K21" s="715" t="s">
        <v>16</v>
      </c>
      <c r="L21" s="716"/>
      <c r="M21" s="456" t="s">
        <v>253</v>
      </c>
      <c r="N21" s="27"/>
      <c r="O21" s="786" t="s">
        <v>7</v>
      </c>
      <c r="P21" s="786"/>
      <c r="Q21" s="786" t="s">
        <v>16</v>
      </c>
      <c r="R21" s="787"/>
      <c r="S21" s="364" t="s">
        <v>253</v>
      </c>
      <c r="T21" s="24"/>
      <c r="U21" s="713" t="s">
        <v>7</v>
      </c>
      <c r="V21" s="713"/>
      <c r="W21" s="713" t="s">
        <v>16</v>
      </c>
      <c r="X21" s="714"/>
      <c r="Y21" s="454" t="s">
        <v>253</v>
      </c>
      <c r="Z21" s="26"/>
      <c r="AA21" s="715" t="s">
        <v>7</v>
      </c>
      <c r="AB21" s="715"/>
      <c r="AC21" s="715" t="s">
        <v>16</v>
      </c>
      <c r="AD21" s="716"/>
      <c r="AE21" s="456" t="s">
        <v>253</v>
      </c>
      <c r="AF21" s="27"/>
      <c r="AG21" s="786" t="s">
        <v>7</v>
      </c>
      <c r="AH21" s="786"/>
      <c r="AI21" s="786" t="s">
        <v>16</v>
      </c>
      <c r="AJ21" s="787"/>
    </row>
    <row r="22" spans="1:36" x14ac:dyDescent="0.25">
      <c r="A22" s="479">
        <v>1</v>
      </c>
      <c r="B22" s="30">
        <f>AF19+K6+S5</f>
        <v>0.44583333333333341</v>
      </c>
      <c r="C22" s="31" t="str">
        <f>C8</f>
        <v>Equipe 1</v>
      </c>
      <c r="D22" s="31" t="str">
        <f>C11</f>
        <v>Equipe 4</v>
      </c>
      <c r="E22" s="53"/>
      <c r="F22" s="54"/>
      <c r="G22" s="459">
        <v>3</v>
      </c>
      <c r="H22" s="32">
        <f>B22</f>
        <v>0.44583333333333341</v>
      </c>
      <c r="I22" s="33" t="str">
        <f>I8</f>
        <v>Equipe 5</v>
      </c>
      <c r="J22" s="33" t="str">
        <f>I11</f>
        <v>Equipe 8</v>
      </c>
      <c r="K22" s="57"/>
      <c r="L22" s="58"/>
      <c r="M22" s="462">
        <v>1</v>
      </c>
      <c r="N22" s="34">
        <f>H23+K6+S5</f>
        <v>0.45763888888888898</v>
      </c>
      <c r="O22" s="35" t="str">
        <f>O8</f>
        <v>Equipe 9</v>
      </c>
      <c r="P22" s="35" t="str">
        <f>O11</f>
        <v>Equipe 12</v>
      </c>
      <c r="Q22" s="61"/>
      <c r="R22" s="62"/>
      <c r="S22" s="479">
        <v>3</v>
      </c>
      <c r="T22" s="30">
        <f>N22</f>
        <v>0.45763888888888898</v>
      </c>
      <c r="U22" s="31" t="str">
        <f>U8</f>
        <v>Equipe 13</v>
      </c>
      <c r="V22" s="31" t="str">
        <f>U11</f>
        <v>Equipe 16</v>
      </c>
      <c r="W22" s="53"/>
      <c r="X22" s="54"/>
      <c r="Y22" s="459">
        <v>1</v>
      </c>
      <c r="Z22" s="32">
        <f>T23+K6+S5</f>
        <v>0.46944444444444455</v>
      </c>
      <c r="AA22" s="33" t="str">
        <f>AA8</f>
        <v>Equipe 17</v>
      </c>
      <c r="AB22" s="33" t="str">
        <f>AA11</f>
        <v>Equipe 20</v>
      </c>
      <c r="AC22" s="57"/>
      <c r="AD22" s="58"/>
      <c r="AE22" s="462">
        <v>3</v>
      </c>
      <c r="AF22" s="34">
        <f>Z22</f>
        <v>0.46944444444444455</v>
      </c>
      <c r="AG22" s="35" t="str">
        <f>AG8</f>
        <v>Equipe 21</v>
      </c>
      <c r="AH22" s="35" t="str">
        <f>AG11</f>
        <v>Equipe 24</v>
      </c>
      <c r="AI22" s="61"/>
      <c r="AJ22" s="62"/>
    </row>
    <row r="23" spans="1:36" ht="15.75" thickBot="1" x14ac:dyDescent="0.3">
      <c r="A23" s="480">
        <v>2</v>
      </c>
      <c r="B23" s="38">
        <f>B22</f>
        <v>0.44583333333333341</v>
      </c>
      <c r="C23" s="39" t="str">
        <f>C9</f>
        <v>Equipe 2</v>
      </c>
      <c r="D23" s="39" t="str">
        <f>C10</f>
        <v>Equipe 3</v>
      </c>
      <c r="E23" s="55"/>
      <c r="F23" s="56"/>
      <c r="G23" s="465">
        <v>4</v>
      </c>
      <c r="H23" s="40">
        <f>B22</f>
        <v>0.44583333333333341</v>
      </c>
      <c r="I23" s="41" t="str">
        <f>I9</f>
        <v>Equipe 6</v>
      </c>
      <c r="J23" s="41" t="str">
        <f>I10</f>
        <v>Equipe 7</v>
      </c>
      <c r="K23" s="59"/>
      <c r="L23" s="60"/>
      <c r="M23" s="467">
        <v>2</v>
      </c>
      <c r="N23" s="42">
        <f>N22</f>
        <v>0.45763888888888898</v>
      </c>
      <c r="O23" s="43" t="str">
        <f>O9</f>
        <v>Equipe 10</v>
      </c>
      <c r="P23" s="43" t="str">
        <f>O10</f>
        <v>Equipe 11</v>
      </c>
      <c r="Q23" s="63"/>
      <c r="R23" s="64"/>
      <c r="S23" s="480">
        <v>4</v>
      </c>
      <c r="T23" s="38">
        <f>N22</f>
        <v>0.45763888888888898</v>
      </c>
      <c r="U23" s="39" t="str">
        <f>U9</f>
        <v>Equipe 14</v>
      </c>
      <c r="V23" s="39" t="str">
        <f>U10</f>
        <v>Equipe 15</v>
      </c>
      <c r="W23" s="55"/>
      <c r="X23" s="56"/>
      <c r="Y23" s="465">
        <v>2</v>
      </c>
      <c r="Z23" s="40">
        <f>Z22</f>
        <v>0.46944444444444455</v>
      </c>
      <c r="AA23" s="41" t="str">
        <f>AA9</f>
        <v>Equipe 18</v>
      </c>
      <c r="AB23" s="41" t="str">
        <f>AA10</f>
        <v>Equipe 19</v>
      </c>
      <c r="AC23" s="59"/>
      <c r="AD23" s="60"/>
      <c r="AE23" s="467">
        <v>4</v>
      </c>
      <c r="AF23" s="42">
        <f>Z22</f>
        <v>0.46944444444444455</v>
      </c>
      <c r="AG23" s="43" t="str">
        <f>AG9</f>
        <v>Equipe 22</v>
      </c>
      <c r="AH23" s="43" t="str">
        <f>AG10</f>
        <v>Equipe 23</v>
      </c>
      <c r="AI23" s="63"/>
      <c r="AJ23" s="64"/>
    </row>
    <row r="24" spans="1:36" ht="5.0999999999999996" customHeight="1" thickBot="1" x14ac:dyDescent="0.3">
      <c r="A24" s="19"/>
      <c r="B24" s="120"/>
      <c r="C24" s="119"/>
      <c r="D24" s="119"/>
      <c r="E24" s="173"/>
      <c r="F24" s="173"/>
      <c r="G24" s="89"/>
      <c r="H24" s="120"/>
      <c r="I24" s="119"/>
      <c r="J24" s="119"/>
      <c r="K24" s="173"/>
      <c r="L24" s="173"/>
      <c r="M24" s="89"/>
      <c r="N24" s="120"/>
      <c r="O24" s="119"/>
      <c r="P24" s="119"/>
      <c r="Q24" s="173"/>
      <c r="R24" s="173"/>
      <c r="S24" s="89"/>
      <c r="T24" s="532"/>
      <c r="U24" s="530"/>
      <c r="V24" s="530"/>
      <c r="W24" s="116"/>
      <c r="X24" s="116"/>
      <c r="Y24" s="478"/>
      <c r="Z24" s="120"/>
      <c r="AA24" s="119"/>
      <c r="AB24" s="119"/>
      <c r="AC24" s="173"/>
      <c r="AD24" s="173"/>
      <c r="AE24" s="89"/>
      <c r="AF24" s="532"/>
      <c r="AG24" s="530"/>
      <c r="AH24" s="530"/>
      <c r="AI24" s="116"/>
      <c r="AJ24" s="117"/>
    </row>
    <row r="25" spans="1:36" ht="16.5" thickBot="1" x14ac:dyDescent="0.3">
      <c r="A25" s="19"/>
      <c r="B25" s="702" t="s">
        <v>60</v>
      </c>
      <c r="C25" s="673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4"/>
    </row>
    <row r="26" spans="1:36" x14ac:dyDescent="0.25">
      <c r="A26" s="19"/>
      <c r="B26" s="81" t="s">
        <v>21</v>
      </c>
      <c r="C26" s="711" t="s">
        <v>41</v>
      </c>
      <c r="D26" s="711"/>
      <c r="E26" s="711" t="s">
        <v>15</v>
      </c>
      <c r="F26" s="712"/>
      <c r="G26" s="122"/>
      <c r="H26" s="81" t="s">
        <v>21</v>
      </c>
      <c r="I26" s="711" t="s">
        <v>42</v>
      </c>
      <c r="J26" s="711"/>
      <c r="K26" s="711" t="s">
        <v>15</v>
      </c>
      <c r="L26" s="712"/>
      <c r="M26" s="75"/>
      <c r="N26" s="81" t="s">
        <v>21</v>
      </c>
      <c r="O26" s="711" t="s">
        <v>43</v>
      </c>
      <c r="P26" s="711"/>
      <c r="Q26" s="711" t="s">
        <v>15</v>
      </c>
      <c r="R26" s="712"/>
      <c r="S26" s="122"/>
      <c r="T26" s="81" t="s">
        <v>21</v>
      </c>
      <c r="U26" s="711" t="s">
        <v>55</v>
      </c>
      <c r="V26" s="711"/>
      <c r="W26" s="711" t="s">
        <v>15</v>
      </c>
      <c r="X26" s="712"/>
      <c r="Y26" s="75"/>
      <c r="Z26" s="81" t="s">
        <v>21</v>
      </c>
      <c r="AA26" s="711" t="s">
        <v>91</v>
      </c>
      <c r="AB26" s="711"/>
      <c r="AC26" s="711" t="s">
        <v>15</v>
      </c>
      <c r="AD26" s="712"/>
      <c r="AE26" s="122"/>
      <c r="AF26" s="81" t="s">
        <v>21</v>
      </c>
      <c r="AG26" s="711" t="s">
        <v>92</v>
      </c>
      <c r="AH26" s="711"/>
      <c r="AI26" s="711" t="s">
        <v>15</v>
      </c>
      <c r="AJ26" s="712"/>
    </row>
    <row r="27" spans="1:36" x14ac:dyDescent="0.25">
      <c r="A27" s="19"/>
      <c r="B27" s="49">
        <v>1</v>
      </c>
      <c r="C27" s="680" t="str">
        <f>VLOOKUP($B27,$B$81:$E$84,2,FALSE)</f>
        <v>Equipe 1</v>
      </c>
      <c r="D27" s="680"/>
      <c r="E27" s="683">
        <f>VLOOKUP($B27,$B$81:$E$84,4,FALSE)</f>
        <v>3.9999999999999998E-7</v>
      </c>
      <c r="F27" s="684"/>
      <c r="G27" s="105"/>
      <c r="H27" s="49">
        <v>1</v>
      </c>
      <c r="I27" s="680" t="str">
        <f>VLOOKUP($H27,$H$81:$K$84,2,FALSE)</f>
        <v>Equipe 5</v>
      </c>
      <c r="J27" s="680"/>
      <c r="K27" s="681">
        <f>VLOOKUP($H27,$H$81:$K$84,4,FALSE)</f>
        <v>3.9999999999999998E-7</v>
      </c>
      <c r="L27" s="682"/>
      <c r="M27" s="76"/>
      <c r="N27" s="49">
        <v>1</v>
      </c>
      <c r="O27" s="680" t="str">
        <f>VLOOKUP($N27,$N$81:$Q$84,2,FALSE)</f>
        <v>Equipe 9</v>
      </c>
      <c r="P27" s="680"/>
      <c r="Q27" s="681">
        <f>VLOOKUP($N27,$N$81:$Q$84,4,FALSE)</f>
        <v>3.9999999999999998E-7</v>
      </c>
      <c r="R27" s="682"/>
      <c r="S27" s="105"/>
      <c r="T27" s="49">
        <v>1</v>
      </c>
      <c r="U27" s="680" t="str">
        <f>VLOOKUP($T27,$T$81:$W$84,2,FALSE)</f>
        <v>Equipe 13</v>
      </c>
      <c r="V27" s="680"/>
      <c r="W27" s="681">
        <f>VLOOKUP($T27,$T$81:$W$84,4,FALSE)</f>
        <v>3.9999999999999998E-7</v>
      </c>
      <c r="X27" s="682"/>
      <c r="Y27" s="76"/>
      <c r="Z27" s="49">
        <v>1</v>
      </c>
      <c r="AA27" s="824" t="str">
        <f>VLOOKUP($Z27,$Z$81:$AC$84,2,FALSE)</f>
        <v>Equipe 17</v>
      </c>
      <c r="AB27" s="825"/>
      <c r="AC27" s="767">
        <f>VLOOKUP($Z27,$Z$81:$AC$84,4,FALSE)</f>
        <v>3.9999999999999998E-7</v>
      </c>
      <c r="AD27" s="922"/>
      <c r="AE27" s="105"/>
      <c r="AF27" s="49">
        <v>1</v>
      </c>
      <c r="AG27" s="680" t="str">
        <f>VLOOKUP($AF27,$AF$81:$AI$84,2,FALSE)</f>
        <v>Equipe 21</v>
      </c>
      <c r="AH27" s="680"/>
      <c r="AI27" s="681">
        <f>VLOOKUP($AF27,$AF$81:$AI$84,4,FALSE)</f>
        <v>3.9999999999999998E-7</v>
      </c>
      <c r="AJ27" s="682"/>
    </row>
    <row r="28" spans="1:36" x14ac:dyDescent="0.25">
      <c r="A28" s="19"/>
      <c r="B28" s="49">
        <v>2</v>
      </c>
      <c r="C28" s="680" t="str">
        <f>VLOOKUP($B28,$B$81:$E$84,2,FALSE)</f>
        <v>Equipe 2</v>
      </c>
      <c r="D28" s="680"/>
      <c r="E28" s="683">
        <f>VLOOKUP($B28,$B$81:$E$84,4,FALSE)</f>
        <v>2.9999999999999999E-7</v>
      </c>
      <c r="F28" s="684"/>
      <c r="G28" s="105"/>
      <c r="H28" s="49">
        <v>2</v>
      </c>
      <c r="I28" s="680" t="str">
        <f>VLOOKUP($H28,$H$81:$K$84,2,FALSE)</f>
        <v>Equipe 6</v>
      </c>
      <c r="J28" s="680"/>
      <c r="K28" s="681">
        <f>VLOOKUP($H28,$H$81:$K$84,4,FALSE)</f>
        <v>2.9999999999999999E-7</v>
      </c>
      <c r="L28" s="682"/>
      <c r="M28" s="76"/>
      <c r="N28" s="49">
        <v>2</v>
      </c>
      <c r="O28" s="680" t="str">
        <f>VLOOKUP($N28,$N$81:$Q$84,2,FALSE)</f>
        <v>Equipe 10</v>
      </c>
      <c r="P28" s="680"/>
      <c r="Q28" s="681">
        <f>VLOOKUP($N28,$N$81:$Q$84,4,FALSE)</f>
        <v>2.9999999999999999E-7</v>
      </c>
      <c r="R28" s="682"/>
      <c r="S28" s="105"/>
      <c r="T28" s="49">
        <v>2</v>
      </c>
      <c r="U28" s="680" t="str">
        <f>VLOOKUP($T28,$T$81:$W$84,2,FALSE)</f>
        <v>Equipe 14</v>
      </c>
      <c r="V28" s="680"/>
      <c r="W28" s="681">
        <f>VLOOKUP($T28,$T$81:$W$84,4,FALSE)</f>
        <v>2.9999999999999999E-7</v>
      </c>
      <c r="X28" s="682"/>
      <c r="Y28" s="76"/>
      <c r="Z28" s="49">
        <v>2</v>
      </c>
      <c r="AA28" s="824" t="str">
        <f>VLOOKUP($Z28,$Z$81:$AC$84,2,FALSE)</f>
        <v>Equipe 18</v>
      </c>
      <c r="AB28" s="825"/>
      <c r="AC28" s="767">
        <f>VLOOKUP($Z28,$Z$81:$AC$84,4,FALSE)</f>
        <v>2.9999999999999999E-7</v>
      </c>
      <c r="AD28" s="922"/>
      <c r="AE28" s="105"/>
      <c r="AF28" s="49">
        <v>2</v>
      </c>
      <c r="AG28" s="680" t="str">
        <f>VLOOKUP($AF28,$AF$81:$AI$84,2,FALSE)</f>
        <v>Equipe 22</v>
      </c>
      <c r="AH28" s="680"/>
      <c r="AI28" s="681">
        <f>VLOOKUP($AF28,$AF$81:$AI$84,4,FALSE)</f>
        <v>2.9999999999999999E-7</v>
      </c>
      <c r="AJ28" s="682"/>
    </row>
    <row r="29" spans="1:36" x14ac:dyDescent="0.25">
      <c r="A29" s="19"/>
      <c r="B29" s="49">
        <v>3</v>
      </c>
      <c r="C29" s="680" t="str">
        <f>VLOOKUP($B29,$B$81:$E$84,2,FALSE)</f>
        <v>Equipe 3</v>
      </c>
      <c r="D29" s="680"/>
      <c r="E29" s="683">
        <f>VLOOKUP($B29,$B$81:$E$84,4,FALSE)</f>
        <v>1.9999999999999999E-7</v>
      </c>
      <c r="F29" s="684"/>
      <c r="G29" s="105"/>
      <c r="H29" s="49">
        <v>3</v>
      </c>
      <c r="I29" s="680" t="str">
        <f>VLOOKUP($H29,$H$81:$K$84,2,FALSE)</f>
        <v>Equipe 7</v>
      </c>
      <c r="J29" s="680"/>
      <c r="K29" s="681">
        <f>VLOOKUP($H29,$H$81:$K$84,4,FALSE)</f>
        <v>1.9999999999999999E-7</v>
      </c>
      <c r="L29" s="682"/>
      <c r="M29" s="76"/>
      <c r="N29" s="49">
        <v>3</v>
      </c>
      <c r="O29" s="680" t="str">
        <f>VLOOKUP($N29,$N$81:$Q$84,2,FALSE)</f>
        <v>Equipe 11</v>
      </c>
      <c r="P29" s="680"/>
      <c r="Q29" s="681">
        <f>VLOOKUP($N29,$N$81:$Q$84,4,FALSE)</f>
        <v>1.9999999999999999E-7</v>
      </c>
      <c r="R29" s="682"/>
      <c r="S29" s="105"/>
      <c r="T29" s="49">
        <v>3</v>
      </c>
      <c r="U29" s="680" t="str">
        <f>VLOOKUP($T29,$T$81:$W$84,2,FALSE)</f>
        <v>Equipe 15</v>
      </c>
      <c r="V29" s="680"/>
      <c r="W29" s="681">
        <f>VLOOKUP($T29,$T$81:$W$84,4,FALSE)</f>
        <v>1.9999999999999999E-7</v>
      </c>
      <c r="X29" s="682"/>
      <c r="Y29" s="76"/>
      <c r="Z29" s="49">
        <v>3</v>
      </c>
      <c r="AA29" s="824" t="str">
        <f>VLOOKUP($Z29,$Z$81:$AC$84,2,FALSE)</f>
        <v>Equipe 19</v>
      </c>
      <c r="AB29" s="825"/>
      <c r="AC29" s="767">
        <f>VLOOKUP($Z29,$Z$81:$AC$84,4,FALSE)</f>
        <v>1.9999999999999999E-7</v>
      </c>
      <c r="AD29" s="922"/>
      <c r="AE29" s="105"/>
      <c r="AF29" s="49">
        <v>3</v>
      </c>
      <c r="AG29" s="680" t="str">
        <f>VLOOKUP($AF29,$AF$81:$AI$84,2,FALSE)</f>
        <v>Equipe 23</v>
      </c>
      <c r="AH29" s="680"/>
      <c r="AI29" s="681">
        <f>VLOOKUP($AF29,$AF$81:$AI$84,4,FALSE)</f>
        <v>1.9999999999999999E-7</v>
      </c>
      <c r="AJ29" s="682"/>
    </row>
    <row r="30" spans="1:36" ht="15.75" thickBot="1" x14ac:dyDescent="0.3">
      <c r="A30" s="19"/>
      <c r="B30" s="108">
        <v>4</v>
      </c>
      <c r="C30" s="843" t="str">
        <f>VLOOKUP($B30,$B$81:$E$84,2,FALSE)</f>
        <v>Equipe 4</v>
      </c>
      <c r="D30" s="843"/>
      <c r="E30" s="839">
        <f>VLOOKUP($B30,$B$81:$E$84,4,FALSE)</f>
        <v>9.9999999999999995E-8</v>
      </c>
      <c r="F30" s="840"/>
      <c r="G30" s="105"/>
      <c r="H30" s="108">
        <v>4</v>
      </c>
      <c r="I30" s="843" t="str">
        <f>VLOOKUP($H30,$H$81:$K$84,2,FALSE)</f>
        <v>Equipe 8</v>
      </c>
      <c r="J30" s="843"/>
      <c r="K30" s="895">
        <f>VLOOKUP($H30,$H$81:$K$84,4,FALSE)</f>
        <v>9.9999999999999995E-8</v>
      </c>
      <c r="L30" s="1082"/>
      <c r="M30" s="76"/>
      <c r="N30" s="108">
        <v>4</v>
      </c>
      <c r="O30" s="843" t="str">
        <f>VLOOKUP($N30,$N$81:$Q$84,2,FALSE)</f>
        <v>Equipe 12</v>
      </c>
      <c r="P30" s="843"/>
      <c r="Q30" s="895">
        <f>VLOOKUP($N30,$N$81:$Q$84,4,FALSE)</f>
        <v>9.9999999999999995E-8</v>
      </c>
      <c r="R30" s="1082"/>
      <c r="S30" s="105"/>
      <c r="T30" s="108">
        <v>4</v>
      </c>
      <c r="U30" s="843" t="str">
        <f>VLOOKUP($T30,$T$81:$W$84,2,FALSE)</f>
        <v>Equipe 16</v>
      </c>
      <c r="V30" s="843"/>
      <c r="W30" s="895">
        <f>VLOOKUP($T30,$T$81:$W$84,4,FALSE)</f>
        <v>9.9999999999999995E-8</v>
      </c>
      <c r="X30" s="1082"/>
      <c r="Y30" s="76"/>
      <c r="Z30" s="108">
        <v>4</v>
      </c>
      <c r="AA30" s="841" t="str">
        <f>VLOOKUP($Z30,$Z$81:$AC$84,2,FALSE)</f>
        <v>Equipe 20</v>
      </c>
      <c r="AB30" s="842"/>
      <c r="AC30" s="1083">
        <f>VLOOKUP($Z30,$Z$81:$AC$84,4,FALSE)</f>
        <v>9.9999999999999995E-8</v>
      </c>
      <c r="AD30" s="897"/>
      <c r="AE30" s="105"/>
      <c r="AF30" s="108">
        <v>4</v>
      </c>
      <c r="AG30" s="843" t="str">
        <f>VLOOKUP($AF30,$AF$81:$AI$84,2,FALSE)</f>
        <v>Equipe 24</v>
      </c>
      <c r="AH30" s="843"/>
      <c r="AI30" s="895">
        <f>VLOOKUP($AF30,$AF$81:$AI$84,4,FALSE)</f>
        <v>9.9999999999999995E-8</v>
      </c>
      <c r="AJ30" s="1082"/>
    </row>
    <row r="31" spans="1:36" ht="15.75" thickBot="1" x14ac:dyDescent="0.3">
      <c r="A31" s="703" t="s">
        <v>34</v>
      </c>
      <c r="B31" s="704"/>
      <c r="C31" s="704"/>
      <c r="D31" s="704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4"/>
      <c r="V31" s="704"/>
      <c r="W31" s="704"/>
      <c r="X31" s="704"/>
      <c r="Y31" s="704"/>
      <c r="Z31" s="704"/>
      <c r="AA31" s="704"/>
      <c r="AB31" s="704"/>
      <c r="AC31" s="704"/>
      <c r="AD31" s="704"/>
      <c r="AE31" s="704"/>
      <c r="AF31" s="704"/>
      <c r="AG31" s="704"/>
      <c r="AH31" s="704"/>
      <c r="AI31" s="704"/>
      <c r="AJ31" s="705"/>
    </row>
    <row r="32" spans="1:36" ht="24.95" customHeight="1" thickBot="1" x14ac:dyDescent="0.3">
      <c r="A32" s="112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7"/>
    </row>
    <row r="33" spans="1:36" ht="16.350000000000001" customHeight="1" thickBot="1" x14ac:dyDescent="0.3">
      <c r="A33" s="106"/>
      <c r="B33" s="685" t="s">
        <v>221</v>
      </c>
      <c r="C33" s="685"/>
      <c r="D33" s="685"/>
      <c r="E33" s="685"/>
      <c r="F33" s="685"/>
      <c r="G33" s="685"/>
      <c r="H33" s="1047"/>
      <c r="I33" s="1047"/>
      <c r="J33" s="531" t="s">
        <v>18</v>
      </c>
      <c r="K33" s="1081">
        <v>8.3333333333333332E-3</v>
      </c>
      <c r="L33" s="1081"/>
      <c r="M33" s="782"/>
      <c r="N33" s="527" t="s">
        <v>17</v>
      </c>
      <c r="O33" s="520"/>
      <c r="P33" s="686"/>
      <c r="Q33" s="686"/>
      <c r="R33" s="686"/>
      <c r="S33" s="686"/>
      <c r="T33" s="686"/>
      <c r="U33" s="686"/>
      <c r="V33" s="686"/>
      <c r="W33" s="686"/>
      <c r="X33" s="686"/>
      <c r="Y33" s="529"/>
      <c r="Z33" s="527"/>
      <c r="AA33" s="520"/>
      <c r="AB33" s="686"/>
      <c r="AC33" s="686"/>
      <c r="AD33" s="686"/>
      <c r="AE33" s="686"/>
      <c r="AF33" s="686"/>
      <c r="AG33" s="686"/>
      <c r="AH33" s="686"/>
      <c r="AI33" s="686"/>
      <c r="AJ33" s="781"/>
    </row>
    <row r="34" spans="1:36" ht="14.45" customHeight="1" x14ac:dyDescent="0.25">
      <c r="A34" s="690"/>
      <c r="B34" s="125"/>
      <c r="C34" s="912" t="s">
        <v>41</v>
      </c>
      <c r="D34" s="935"/>
      <c r="E34" s="912" t="s">
        <v>15</v>
      </c>
      <c r="F34" s="914"/>
      <c r="G34" s="597"/>
      <c r="H34" s="124"/>
      <c r="I34" s="915" t="s">
        <v>42</v>
      </c>
      <c r="J34" s="936"/>
      <c r="K34" s="915" t="s">
        <v>15</v>
      </c>
      <c r="L34" s="917"/>
      <c r="M34" s="594"/>
      <c r="N34" s="97"/>
      <c r="O34" s="852" t="s">
        <v>43</v>
      </c>
      <c r="P34" s="937"/>
      <c r="Q34" s="852" t="s">
        <v>15</v>
      </c>
      <c r="R34" s="853"/>
      <c r="S34" s="593"/>
      <c r="T34" s="83"/>
      <c r="U34" s="850" t="s">
        <v>55</v>
      </c>
      <c r="V34" s="938"/>
      <c r="W34" s="850" t="s">
        <v>15</v>
      </c>
      <c r="X34" s="851"/>
      <c r="Y34" s="691"/>
      <c r="Z34" s="691"/>
      <c r="AA34" s="691"/>
      <c r="AB34" s="691"/>
      <c r="AC34" s="691"/>
      <c r="AD34" s="691"/>
      <c r="AE34" s="691"/>
      <c r="AF34" s="691"/>
      <c r="AG34" s="691"/>
      <c r="AH34" s="691"/>
      <c r="AI34" s="691"/>
      <c r="AJ34" s="692"/>
    </row>
    <row r="35" spans="1:36" ht="14.45" customHeight="1" x14ac:dyDescent="0.25">
      <c r="A35" s="693"/>
      <c r="B35" s="10">
        <v>1</v>
      </c>
      <c r="C35" s="905" t="str">
        <f>IF($E$14="","4eme A",C30)</f>
        <v>4eme A</v>
      </c>
      <c r="D35" s="933"/>
      <c r="E35" s="725">
        <f>B120+C126+B131+C136+B140+D87/1000000</f>
        <v>0</v>
      </c>
      <c r="F35" s="726"/>
      <c r="G35" s="179"/>
      <c r="H35" s="11">
        <v>1</v>
      </c>
      <c r="I35" s="907" t="str">
        <f>IF($E$14="","3eme A",C29)</f>
        <v>3eme A</v>
      </c>
      <c r="J35" s="934"/>
      <c r="K35" s="729">
        <f>H120+I126+H131+I136+H140+J87/1000000</f>
        <v>0</v>
      </c>
      <c r="L35" s="730"/>
      <c r="M35" s="595"/>
      <c r="N35" s="12">
        <v>1</v>
      </c>
      <c r="O35" s="844" t="str">
        <f>IF($E$14="","2eme A",I29)</f>
        <v>2eme A</v>
      </c>
      <c r="P35" s="845"/>
      <c r="Q35" s="802">
        <f>N120+O126+N131+O136+N140+P87/1000000</f>
        <v>0</v>
      </c>
      <c r="R35" s="803"/>
      <c r="S35" s="200"/>
      <c r="T35" s="13">
        <v>1</v>
      </c>
      <c r="U35" s="835" t="str">
        <f>IF($E$14="","1er A",O29)</f>
        <v>1er A</v>
      </c>
      <c r="V35" s="836"/>
      <c r="W35" s="798">
        <f>T120+U126+T131+U136+T140+V87/1000000</f>
        <v>0</v>
      </c>
      <c r="X35" s="799"/>
      <c r="Y35" s="694"/>
      <c r="Z35" s="694"/>
      <c r="AA35" s="694"/>
      <c r="AB35" s="694"/>
      <c r="AC35" s="694"/>
      <c r="AD35" s="694"/>
      <c r="AE35" s="694"/>
      <c r="AF35" s="694"/>
      <c r="AG35" s="694"/>
      <c r="AH35" s="694"/>
      <c r="AI35" s="694"/>
      <c r="AJ35" s="695"/>
    </row>
    <row r="36" spans="1:36" ht="14.45" customHeight="1" x14ac:dyDescent="0.25">
      <c r="A36" s="693"/>
      <c r="B36" s="10">
        <v>2</v>
      </c>
      <c r="C36" s="905" t="str">
        <f>IF($E$14="","4eme B",I30)</f>
        <v>4eme B</v>
      </c>
      <c r="D36" s="933"/>
      <c r="E36" s="725">
        <f>C120+C125+B132+C137+B141+D88/1000000</f>
        <v>0</v>
      </c>
      <c r="F36" s="726"/>
      <c r="G36" s="179"/>
      <c r="H36" s="11">
        <v>2</v>
      </c>
      <c r="I36" s="907" t="str">
        <f>IF($E$14="","3eme B",I29)</f>
        <v>3eme B</v>
      </c>
      <c r="J36" s="934"/>
      <c r="K36" s="729">
        <f>I120+I125+H132+I137+H141+J88/1000000</f>
        <v>0</v>
      </c>
      <c r="L36" s="730"/>
      <c r="M36" s="595"/>
      <c r="N36" s="12">
        <v>2</v>
      </c>
      <c r="O36" s="844" t="str">
        <f>IF($E$14="","2eme B",O29)</f>
        <v>2eme B</v>
      </c>
      <c r="P36" s="845"/>
      <c r="Q36" s="802">
        <f>O120+O125+N132+O137+N141+P88/1000000</f>
        <v>0</v>
      </c>
      <c r="R36" s="803"/>
      <c r="S36" s="200"/>
      <c r="T36" s="13">
        <v>2</v>
      </c>
      <c r="U36" s="835" t="str">
        <f>IF($E$14="","1er B",U29)</f>
        <v>1er B</v>
      </c>
      <c r="V36" s="836"/>
      <c r="W36" s="798">
        <f>U120+U125+T132+U137+T141+V88/1000000</f>
        <v>0</v>
      </c>
      <c r="X36" s="799"/>
      <c r="Y36" s="694"/>
      <c r="Z36" s="694"/>
      <c r="AA36" s="694"/>
      <c r="AB36" s="694"/>
      <c r="AC36" s="694"/>
      <c r="AD36" s="694"/>
      <c r="AE36" s="694"/>
      <c r="AF36" s="694"/>
      <c r="AG36" s="694"/>
      <c r="AH36" s="694"/>
      <c r="AI36" s="694"/>
      <c r="AJ36" s="695"/>
    </row>
    <row r="37" spans="1:36" ht="14.45" customHeight="1" x14ac:dyDescent="0.25">
      <c r="A37" s="693"/>
      <c r="B37" s="10">
        <v>3</v>
      </c>
      <c r="C37" s="905" t="str">
        <f>IF($E$14="","4eme C",O30)</f>
        <v>4eme C</v>
      </c>
      <c r="D37" s="933"/>
      <c r="E37" s="725">
        <f>B121+B127+C132+B136+C142+D89/1000000</f>
        <v>0</v>
      </c>
      <c r="F37" s="726"/>
      <c r="G37" s="179"/>
      <c r="H37" s="11">
        <v>3</v>
      </c>
      <c r="I37" s="907" t="str">
        <f>IF($E$14="","3eme C",O29)</f>
        <v>3eme C</v>
      </c>
      <c r="J37" s="934"/>
      <c r="K37" s="729">
        <f>H121+H127+I132+H136+I142+J89/1000000</f>
        <v>0</v>
      </c>
      <c r="L37" s="730"/>
      <c r="M37" s="595"/>
      <c r="N37" s="12">
        <v>3</v>
      </c>
      <c r="O37" s="844" t="str">
        <f>IF($E$14="","2eme C",U29)</f>
        <v>2eme C</v>
      </c>
      <c r="P37" s="845"/>
      <c r="Q37" s="802">
        <f>N121+N127+O132+N136+O142+P89/1000000</f>
        <v>0</v>
      </c>
      <c r="R37" s="803"/>
      <c r="S37" s="200"/>
      <c r="T37" s="13">
        <v>3</v>
      </c>
      <c r="U37" s="835" t="str">
        <f>IF($E$14="","1er C",AA29)</f>
        <v>1er C</v>
      </c>
      <c r="V37" s="836"/>
      <c r="W37" s="798">
        <f>T121+T127+U132+T136+U142+V89/1000000</f>
        <v>0</v>
      </c>
      <c r="X37" s="799"/>
      <c r="Y37" s="694"/>
      <c r="Z37" s="694"/>
      <c r="AA37" s="694"/>
      <c r="AB37" s="694"/>
      <c r="AC37" s="694"/>
      <c r="AD37" s="694"/>
      <c r="AE37" s="694"/>
      <c r="AF37" s="694"/>
      <c r="AG37" s="694"/>
      <c r="AH37" s="694"/>
      <c r="AI37" s="694"/>
      <c r="AJ37" s="695"/>
    </row>
    <row r="38" spans="1:36" ht="14.45" customHeight="1" x14ac:dyDescent="0.25">
      <c r="A38" s="693"/>
      <c r="B38" s="306">
        <v>4</v>
      </c>
      <c r="C38" s="905" t="str">
        <f>IF($E$14="","4eme D",U30)</f>
        <v>4eme D</v>
      </c>
      <c r="D38" s="933"/>
      <c r="E38" s="725">
        <f>C121+B125+B130+C135+C140+D90/1000000</f>
        <v>0</v>
      </c>
      <c r="F38" s="726"/>
      <c r="G38" s="179"/>
      <c r="H38" s="11">
        <v>4</v>
      </c>
      <c r="I38" s="907" t="str">
        <f>IF($E$14="","3eme D",U29)</f>
        <v>3eme D</v>
      </c>
      <c r="J38" s="934"/>
      <c r="K38" s="729">
        <f>I121+H125+H130+I135+I140+J90/1000000</f>
        <v>0</v>
      </c>
      <c r="L38" s="730"/>
      <c r="M38" s="595"/>
      <c r="N38" s="12">
        <v>4</v>
      </c>
      <c r="O38" s="844" t="str">
        <f>IF($E$14="","2eme D",AA29)</f>
        <v>2eme D</v>
      </c>
      <c r="P38" s="845"/>
      <c r="Q38" s="802">
        <f>O121+N125+N130+O135+O140+P90/1000000</f>
        <v>0</v>
      </c>
      <c r="R38" s="803"/>
      <c r="S38" s="200"/>
      <c r="T38" s="13">
        <v>4</v>
      </c>
      <c r="U38" s="835" t="str">
        <f>IF($E$14="","1er D",AG29)</f>
        <v>1er D</v>
      </c>
      <c r="V38" s="836"/>
      <c r="W38" s="798">
        <f>U121+T125+T130+U135+U140+V90/1000000</f>
        <v>0</v>
      </c>
      <c r="X38" s="799"/>
      <c r="Y38" s="694"/>
      <c r="Z38" s="694"/>
      <c r="AA38" s="694"/>
      <c r="AB38" s="694"/>
      <c r="AC38" s="694"/>
      <c r="AD38" s="694"/>
      <c r="AE38" s="694"/>
      <c r="AF38" s="694"/>
      <c r="AG38" s="694"/>
      <c r="AH38" s="694"/>
      <c r="AI38" s="694"/>
      <c r="AJ38" s="695"/>
    </row>
    <row r="39" spans="1:36" ht="14.45" customHeight="1" x14ac:dyDescent="0.25">
      <c r="A39" s="693"/>
      <c r="B39" s="306">
        <v>5</v>
      </c>
      <c r="C39" s="905" t="str">
        <f>IF($E$14="","4eme E",AA30)</f>
        <v>4eme E</v>
      </c>
      <c r="D39" s="933"/>
      <c r="E39" s="725">
        <f>B122+C127+C131+B135+C141+D91/1000000</f>
        <v>0</v>
      </c>
      <c r="F39" s="726"/>
      <c r="G39" s="179"/>
      <c r="H39" s="11">
        <v>5</v>
      </c>
      <c r="I39" s="907" t="str">
        <f>IF($E$14="","3eme E",AA29)</f>
        <v>3eme E</v>
      </c>
      <c r="J39" s="934"/>
      <c r="K39" s="729">
        <f>H122+I127+I131+H135+I141+J91/1000000</f>
        <v>0</v>
      </c>
      <c r="L39" s="730"/>
      <c r="M39" s="595"/>
      <c r="N39" s="12">
        <v>5</v>
      </c>
      <c r="O39" s="844" t="str">
        <f>IF($E$14="","2eme E",AG29)</f>
        <v>2eme E</v>
      </c>
      <c r="P39" s="845"/>
      <c r="Q39" s="802">
        <f>N122+O127+O131+N135+O141+P91/1000000</f>
        <v>0</v>
      </c>
      <c r="R39" s="803"/>
      <c r="S39" s="200"/>
      <c r="T39" s="13">
        <v>5</v>
      </c>
      <c r="U39" s="835" t="str">
        <f>IF($E$14="","1er E",AM29)</f>
        <v>1er E</v>
      </c>
      <c r="V39" s="836"/>
      <c r="W39" s="798">
        <f>T122+U127+U131+T135+U141+V91/1000000</f>
        <v>0</v>
      </c>
      <c r="X39" s="799"/>
      <c r="Y39" s="694"/>
      <c r="Z39" s="694"/>
      <c r="AA39" s="694"/>
      <c r="AB39" s="694"/>
      <c r="AC39" s="694"/>
      <c r="AD39" s="694"/>
      <c r="AE39" s="694"/>
      <c r="AF39" s="694"/>
      <c r="AG39" s="694"/>
      <c r="AH39" s="694"/>
      <c r="AI39" s="694"/>
      <c r="AJ39" s="695"/>
    </row>
    <row r="40" spans="1:36" ht="14.45" customHeight="1" thickBot="1" x14ac:dyDescent="0.3">
      <c r="A40" s="693"/>
      <c r="B40" s="15">
        <v>6</v>
      </c>
      <c r="C40" s="901" t="str">
        <f>IF($E$14="","4eme F",AG30)</f>
        <v>4eme F</v>
      </c>
      <c r="D40" s="939"/>
      <c r="E40" s="719">
        <f>C122+B126+C130+B137+B142+D92/1000000</f>
        <v>0</v>
      </c>
      <c r="F40" s="720"/>
      <c r="G40" s="179"/>
      <c r="H40" s="16">
        <v>6</v>
      </c>
      <c r="I40" s="903" t="str">
        <f>IF($E$14="","3eme F",AG29)</f>
        <v>3eme F</v>
      </c>
      <c r="J40" s="940"/>
      <c r="K40" s="723">
        <f>I122+H126+I130+H137+H142+J92/1000000</f>
        <v>0</v>
      </c>
      <c r="L40" s="724"/>
      <c r="M40" s="595"/>
      <c r="N40" s="17">
        <v>6</v>
      </c>
      <c r="O40" s="846" t="str">
        <f>IF($E$14="","2eme F",AM29)</f>
        <v>2eme F</v>
      </c>
      <c r="P40" s="847"/>
      <c r="Q40" s="794">
        <f>O122+N126+O130+N137+N142+P92/1000000</f>
        <v>0</v>
      </c>
      <c r="R40" s="795"/>
      <c r="S40" s="200"/>
      <c r="T40" s="18">
        <v>6</v>
      </c>
      <c r="U40" s="837" t="str">
        <f>IF($E$14="","1er F",AS29)</f>
        <v>1er F</v>
      </c>
      <c r="V40" s="838"/>
      <c r="W40" s="790">
        <f>U122+T126+U130+T137+T142+V92/1000000</f>
        <v>0</v>
      </c>
      <c r="X40" s="791"/>
      <c r="Y40" s="694"/>
      <c r="Z40" s="694"/>
      <c r="AA40" s="694"/>
      <c r="AB40" s="694"/>
      <c r="AC40" s="694"/>
      <c r="AD40" s="694"/>
      <c r="AE40" s="694"/>
      <c r="AF40" s="694"/>
      <c r="AG40" s="694"/>
      <c r="AH40" s="694"/>
      <c r="AI40" s="694"/>
      <c r="AJ40" s="695"/>
    </row>
    <row r="41" spans="1:36" s="29" customFormat="1" ht="5.0999999999999996" customHeight="1" thickBot="1" x14ac:dyDescent="0.3">
      <c r="A41" s="693"/>
      <c r="B41" s="2"/>
      <c r="C41" s="2"/>
      <c r="D41" s="2"/>
      <c r="E41" s="2"/>
      <c r="F41" s="2"/>
      <c r="G41" s="179"/>
      <c r="H41" s="2"/>
      <c r="I41" s="2"/>
      <c r="J41" s="2"/>
      <c r="K41" s="2"/>
      <c r="L41" s="2"/>
      <c r="M41" s="595"/>
      <c r="N41" s="2"/>
      <c r="O41" s="2"/>
      <c r="P41" s="2"/>
      <c r="Q41" s="2"/>
      <c r="R41" s="2"/>
      <c r="S41" s="200"/>
      <c r="T41" s="2"/>
      <c r="U41" s="2"/>
      <c r="V41" s="2"/>
      <c r="W41" s="2"/>
      <c r="X41" s="21"/>
      <c r="Y41" s="694"/>
      <c r="Z41" s="694"/>
      <c r="AA41" s="694"/>
      <c r="AB41" s="694"/>
      <c r="AC41" s="694"/>
      <c r="AD41" s="694"/>
      <c r="AE41" s="694"/>
      <c r="AF41" s="694"/>
      <c r="AG41" s="694"/>
      <c r="AH41" s="694"/>
      <c r="AI41" s="694"/>
      <c r="AJ41" s="695"/>
    </row>
    <row r="42" spans="1:36" s="29" customFormat="1" ht="17.25" customHeight="1" thickBot="1" x14ac:dyDescent="0.3">
      <c r="A42" s="693"/>
      <c r="B42" s="780" t="s">
        <v>87</v>
      </c>
      <c r="C42" s="686"/>
      <c r="D42" s="686"/>
      <c r="E42" s="686"/>
      <c r="F42" s="781"/>
      <c r="G42" s="179"/>
      <c r="H42" s="780" t="s">
        <v>88</v>
      </c>
      <c r="I42" s="686"/>
      <c r="J42" s="686"/>
      <c r="K42" s="686"/>
      <c r="L42" s="781"/>
      <c r="M42" s="595"/>
      <c r="N42" s="780" t="s">
        <v>250</v>
      </c>
      <c r="O42" s="686"/>
      <c r="P42" s="686"/>
      <c r="Q42" s="686"/>
      <c r="R42" s="781"/>
      <c r="S42" s="200"/>
      <c r="T42" s="780" t="s">
        <v>251</v>
      </c>
      <c r="U42" s="686"/>
      <c r="V42" s="686"/>
      <c r="W42" s="686"/>
      <c r="X42" s="781"/>
      <c r="Y42" s="694"/>
      <c r="Z42" s="694"/>
      <c r="AA42" s="694"/>
      <c r="AB42" s="694"/>
      <c r="AC42" s="694"/>
      <c r="AD42" s="694"/>
      <c r="AE42" s="694"/>
      <c r="AF42" s="694"/>
      <c r="AG42" s="694"/>
      <c r="AH42" s="694"/>
      <c r="AI42" s="694"/>
      <c r="AJ42" s="695"/>
    </row>
    <row r="43" spans="1:36" ht="14.45" customHeight="1" x14ac:dyDescent="0.25">
      <c r="A43" s="693"/>
      <c r="B43" s="24"/>
      <c r="C43" s="713" t="s">
        <v>10</v>
      </c>
      <c r="D43" s="713"/>
      <c r="E43" s="713" t="s">
        <v>16</v>
      </c>
      <c r="F43" s="714"/>
      <c r="G43" s="179"/>
      <c r="H43" s="26"/>
      <c r="I43" s="715" t="s">
        <v>10</v>
      </c>
      <c r="J43" s="715"/>
      <c r="K43" s="715" t="s">
        <v>16</v>
      </c>
      <c r="L43" s="716"/>
      <c r="M43" s="595"/>
      <c r="N43" s="27"/>
      <c r="O43" s="786" t="s">
        <v>10</v>
      </c>
      <c r="P43" s="786"/>
      <c r="Q43" s="786" t="s">
        <v>16</v>
      </c>
      <c r="R43" s="787"/>
      <c r="S43" s="200"/>
      <c r="T43" s="28"/>
      <c r="U43" s="784" t="s">
        <v>10</v>
      </c>
      <c r="V43" s="784"/>
      <c r="W43" s="784" t="s">
        <v>16</v>
      </c>
      <c r="X43" s="785"/>
      <c r="Y43" s="694"/>
      <c r="Z43" s="694"/>
      <c r="AA43" s="694"/>
      <c r="AB43" s="694"/>
      <c r="AC43" s="694"/>
      <c r="AD43" s="694"/>
      <c r="AE43" s="694"/>
      <c r="AF43" s="694"/>
      <c r="AG43" s="694"/>
      <c r="AH43" s="694"/>
      <c r="AI43" s="694"/>
      <c r="AJ43" s="695"/>
    </row>
    <row r="44" spans="1:36" ht="14.25" customHeight="1" x14ac:dyDescent="0.25">
      <c r="A44" s="693"/>
      <c r="B44" s="30">
        <f>AF23+K33+S5</f>
        <v>0.48125000000000012</v>
      </c>
      <c r="C44" s="31" t="str">
        <f>C35</f>
        <v>4eme A</v>
      </c>
      <c r="D44" s="31" t="str">
        <f>C36</f>
        <v>4eme B</v>
      </c>
      <c r="E44" s="53"/>
      <c r="F44" s="54"/>
      <c r="G44" s="179"/>
      <c r="H44" s="32">
        <f>B44</f>
        <v>0.48125000000000012</v>
      </c>
      <c r="I44" s="33" t="str">
        <f>I35</f>
        <v>3eme A</v>
      </c>
      <c r="J44" s="33" t="str">
        <f>I36</f>
        <v>3eme B</v>
      </c>
      <c r="K44" s="57"/>
      <c r="L44" s="58"/>
      <c r="M44" s="595"/>
      <c r="N44" s="34">
        <f>B44</f>
        <v>0.48125000000000012</v>
      </c>
      <c r="O44" s="35" t="str">
        <f>O35</f>
        <v>2eme A</v>
      </c>
      <c r="P44" s="35" t="str">
        <f>O36</f>
        <v>2eme B</v>
      </c>
      <c r="Q44" s="61"/>
      <c r="R44" s="62"/>
      <c r="S44" s="200"/>
      <c r="T44" s="36">
        <f>B44</f>
        <v>0.48125000000000012</v>
      </c>
      <c r="U44" s="37" t="str">
        <f>U35</f>
        <v>1er A</v>
      </c>
      <c r="V44" s="37" t="str">
        <f>U36</f>
        <v>1er B</v>
      </c>
      <c r="W44" s="65"/>
      <c r="X44" s="66"/>
      <c r="Y44" s="694"/>
      <c r="Z44" s="694"/>
      <c r="AA44" s="694"/>
      <c r="AB44" s="694"/>
      <c r="AC44" s="694"/>
      <c r="AD44" s="694"/>
      <c r="AE44" s="694"/>
      <c r="AF44" s="694"/>
      <c r="AG44" s="694"/>
      <c r="AH44" s="694"/>
      <c r="AI44" s="694"/>
      <c r="AJ44" s="695"/>
    </row>
    <row r="45" spans="1:36" ht="13.5" customHeight="1" x14ac:dyDescent="0.25">
      <c r="A45" s="693"/>
      <c r="B45" s="30">
        <f>B44+K33+S5</f>
        <v>0.49305555555555569</v>
      </c>
      <c r="C45" s="31" t="str">
        <f>C37</f>
        <v>4eme C</v>
      </c>
      <c r="D45" s="31" t="str">
        <f>C38</f>
        <v>4eme D</v>
      </c>
      <c r="E45" s="53"/>
      <c r="F45" s="54"/>
      <c r="G45" s="179"/>
      <c r="H45" s="32">
        <f t="shared" ref="H45:H46" si="0">B45</f>
        <v>0.49305555555555569</v>
      </c>
      <c r="I45" s="33" t="str">
        <f>I37</f>
        <v>3eme C</v>
      </c>
      <c r="J45" s="33" t="str">
        <f>I38</f>
        <v>3eme D</v>
      </c>
      <c r="K45" s="57"/>
      <c r="L45" s="58"/>
      <c r="M45" s="595"/>
      <c r="N45" s="34">
        <f t="shared" ref="N45:N46" si="1">B45</f>
        <v>0.49305555555555569</v>
      </c>
      <c r="O45" s="35" t="str">
        <f>O37</f>
        <v>2eme C</v>
      </c>
      <c r="P45" s="35" t="str">
        <f>O38</f>
        <v>2eme D</v>
      </c>
      <c r="Q45" s="61"/>
      <c r="R45" s="62"/>
      <c r="S45" s="200"/>
      <c r="T45" s="36">
        <f t="shared" ref="T45:T46" si="2">B45</f>
        <v>0.49305555555555569</v>
      </c>
      <c r="U45" s="37" t="str">
        <f>U37</f>
        <v>1er C</v>
      </c>
      <c r="V45" s="37" t="str">
        <f>U38</f>
        <v>1er D</v>
      </c>
      <c r="W45" s="65"/>
      <c r="X45" s="66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5"/>
    </row>
    <row r="46" spans="1:36" ht="13.5" customHeight="1" thickBot="1" x14ac:dyDescent="0.3">
      <c r="A46" s="693"/>
      <c r="B46" s="599">
        <f>B45+K33+S5</f>
        <v>0.5048611111111112</v>
      </c>
      <c r="C46" s="600" t="str">
        <f>C39</f>
        <v>4eme E</v>
      </c>
      <c r="D46" s="600" t="str">
        <f>C40</f>
        <v>4eme F</v>
      </c>
      <c r="E46" s="601"/>
      <c r="F46" s="602"/>
      <c r="G46" s="179"/>
      <c r="H46" s="40">
        <f t="shared" si="0"/>
        <v>0.5048611111111112</v>
      </c>
      <c r="I46" s="568" t="str">
        <f>I39</f>
        <v>3eme E</v>
      </c>
      <c r="J46" s="568" t="str">
        <f>I40</f>
        <v>3eme F</v>
      </c>
      <c r="K46" s="569"/>
      <c r="L46" s="570"/>
      <c r="M46" s="595"/>
      <c r="N46" s="42">
        <f t="shared" si="1"/>
        <v>0.5048611111111112</v>
      </c>
      <c r="O46" s="588" t="str">
        <f>O39</f>
        <v>2eme E</v>
      </c>
      <c r="P46" s="588" t="str">
        <f>O40</f>
        <v>2eme F</v>
      </c>
      <c r="Q46" s="589"/>
      <c r="R46" s="590"/>
      <c r="S46" s="200"/>
      <c r="T46" s="44">
        <f t="shared" si="2"/>
        <v>0.5048611111111112</v>
      </c>
      <c r="U46" s="603" t="str">
        <f>U39</f>
        <v>1er E</v>
      </c>
      <c r="V46" s="603" t="str">
        <f>U40</f>
        <v>1er F</v>
      </c>
      <c r="W46" s="604"/>
      <c r="X46" s="605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5"/>
    </row>
    <row r="47" spans="1:36" ht="19.5" customHeight="1" thickBot="1" x14ac:dyDescent="0.3">
      <c r="A47" s="693"/>
      <c r="B47" s="1069" t="s">
        <v>275</v>
      </c>
      <c r="C47" s="1070"/>
      <c r="D47" s="1070"/>
      <c r="E47" s="1070"/>
      <c r="F47" s="1070"/>
      <c r="G47" s="1070"/>
      <c r="H47" s="1070"/>
      <c r="I47" s="1070"/>
      <c r="J47" s="1070"/>
      <c r="K47" s="1070"/>
      <c r="L47" s="1070"/>
      <c r="M47" s="1070"/>
      <c r="N47" s="1071"/>
      <c r="O47" s="1071"/>
      <c r="P47" s="1071"/>
      <c r="Q47" s="1071"/>
      <c r="R47" s="1071"/>
      <c r="S47" s="1070"/>
      <c r="T47" s="1070"/>
      <c r="U47" s="1070"/>
      <c r="V47" s="1070"/>
      <c r="W47" s="1070"/>
      <c r="X47" s="1072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5"/>
    </row>
    <row r="48" spans="1:36" ht="14.45" customHeight="1" x14ac:dyDescent="0.25">
      <c r="A48" s="693"/>
      <c r="B48" s="258"/>
      <c r="C48" s="1038" t="s">
        <v>10</v>
      </c>
      <c r="D48" s="1038"/>
      <c r="E48" s="1038" t="s">
        <v>16</v>
      </c>
      <c r="F48" s="1039"/>
      <c r="G48" s="179"/>
      <c r="H48" s="26"/>
      <c r="I48" s="715" t="s">
        <v>10</v>
      </c>
      <c r="J48" s="715"/>
      <c r="K48" s="715" t="s">
        <v>16</v>
      </c>
      <c r="L48" s="716"/>
      <c r="M48" s="595"/>
      <c r="N48" s="27"/>
      <c r="O48" s="786" t="s">
        <v>10</v>
      </c>
      <c r="P48" s="786"/>
      <c r="Q48" s="786" t="s">
        <v>16</v>
      </c>
      <c r="R48" s="787"/>
      <c r="S48" s="200"/>
      <c r="T48" s="28"/>
      <c r="U48" s="784" t="s">
        <v>10</v>
      </c>
      <c r="V48" s="784"/>
      <c r="W48" s="784" t="s">
        <v>16</v>
      </c>
      <c r="X48" s="785"/>
      <c r="Y48" s="694"/>
      <c r="Z48" s="694"/>
      <c r="AA48" s="694"/>
      <c r="AB48" s="694"/>
      <c r="AC48" s="694"/>
      <c r="AD48" s="694"/>
      <c r="AE48" s="694"/>
      <c r="AF48" s="694"/>
      <c r="AG48" s="694"/>
      <c r="AH48" s="694"/>
      <c r="AI48" s="694"/>
      <c r="AJ48" s="695"/>
    </row>
    <row r="49" spans="1:36" ht="14.45" customHeight="1" x14ac:dyDescent="0.25">
      <c r="A49" s="693"/>
      <c r="B49" s="30">
        <f>B46+$K$33+$M$5</f>
        <v>0.54166666666666674</v>
      </c>
      <c r="C49" s="31" t="str">
        <f>C38</f>
        <v>4eme D</v>
      </c>
      <c r="D49" s="31" t="str">
        <f>C36</f>
        <v>4eme B</v>
      </c>
      <c r="E49" s="53"/>
      <c r="F49" s="54"/>
      <c r="G49" s="179"/>
      <c r="H49" s="32">
        <f>H46+$K$33+$M$5</f>
        <v>0.54166666666666674</v>
      </c>
      <c r="I49" s="33" t="str">
        <f>I38</f>
        <v>3eme D</v>
      </c>
      <c r="J49" s="33" t="str">
        <f>I36</f>
        <v>3eme B</v>
      </c>
      <c r="K49" s="57"/>
      <c r="L49" s="58"/>
      <c r="M49" s="595"/>
      <c r="N49" s="34">
        <f>N46+$K$33+$M$5</f>
        <v>0.54166666666666674</v>
      </c>
      <c r="O49" s="35" t="str">
        <f>O38</f>
        <v>2eme D</v>
      </c>
      <c r="P49" s="35" t="str">
        <f>O36</f>
        <v>2eme B</v>
      </c>
      <c r="Q49" s="61"/>
      <c r="R49" s="62"/>
      <c r="S49" s="200"/>
      <c r="T49" s="36">
        <f>T46+$K$33+$M$5</f>
        <v>0.54166666666666674</v>
      </c>
      <c r="U49" s="37" t="str">
        <f>U38</f>
        <v>1er D</v>
      </c>
      <c r="V49" s="37" t="str">
        <f>U36</f>
        <v>1er B</v>
      </c>
      <c r="W49" s="65"/>
      <c r="X49" s="66"/>
      <c r="Y49" s="694"/>
      <c r="Z49" s="694"/>
      <c r="AA49" s="694"/>
      <c r="AB49" s="694"/>
      <c r="AC49" s="694"/>
      <c r="AD49" s="694"/>
      <c r="AE49" s="694"/>
      <c r="AF49" s="694"/>
      <c r="AG49" s="694"/>
      <c r="AH49" s="694"/>
      <c r="AI49" s="694"/>
      <c r="AJ49" s="695"/>
    </row>
    <row r="50" spans="1:36" ht="14.25" customHeight="1" x14ac:dyDescent="0.25">
      <c r="A50" s="693"/>
      <c r="B50" s="30">
        <f>B49+$K$33+$S$5</f>
        <v>0.55347222222222225</v>
      </c>
      <c r="C50" s="31" t="str">
        <f>C40</f>
        <v>4eme F</v>
      </c>
      <c r="D50" s="31" t="str">
        <f>C35</f>
        <v>4eme A</v>
      </c>
      <c r="E50" s="53"/>
      <c r="F50" s="54"/>
      <c r="G50" s="179"/>
      <c r="H50" s="32">
        <f>H49+$K$33+$S$5</f>
        <v>0.55347222222222225</v>
      </c>
      <c r="I50" s="33" t="str">
        <f>I40</f>
        <v>3eme F</v>
      </c>
      <c r="J50" s="33" t="str">
        <f>I35</f>
        <v>3eme A</v>
      </c>
      <c r="K50" s="57"/>
      <c r="L50" s="58"/>
      <c r="M50" s="595"/>
      <c r="N50" s="34">
        <f>N49+$K$33+$S$5</f>
        <v>0.55347222222222225</v>
      </c>
      <c r="O50" s="35" t="str">
        <f>O40</f>
        <v>2eme F</v>
      </c>
      <c r="P50" s="35" t="str">
        <f>O35</f>
        <v>2eme A</v>
      </c>
      <c r="Q50" s="61"/>
      <c r="R50" s="62"/>
      <c r="S50" s="200"/>
      <c r="T50" s="36">
        <f>T49+$K$33+$S$5</f>
        <v>0.55347222222222225</v>
      </c>
      <c r="U50" s="37" t="str">
        <f>U40</f>
        <v>1er F</v>
      </c>
      <c r="V50" s="37" t="str">
        <f>U35</f>
        <v>1er A</v>
      </c>
      <c r="W50" s="65"/>
      <c r="X50" s="66"/>
      <c r="Y50" s="694"/>
      <c r="Z50" s="694"/>
      <c r="AA50" s="694"/>
      <c r="AB50" s="694"/>
      <c r="AC50" s="694"/>
      <c r="AD50" s="694"/>
      <c r="AE50" s="694"/>
      <c r="AF50" s="694"/>
      <c r="AG50" s="694"/>
      <c r="AH50" s="694"/>
      <c r="AI50" s="694"/>
      <c r="AJ50" s="695"/>
    </row>
    <row r="51" spans="1:36" ht="13.5" customHeight="1" thickBot="1" x14ac:dyDescent="0.3">
      <c r="A51" s="693"/>
      <c r="B51" s="38">
        <f>B50+$K$33+$S$5</f>
        <v>0.56527777777777777</v>
      </c>
      <c r="C51" s="585" t="str">
        <f>C37</f>
        <v>4eme C</v>
      </c>
      <c r="D51" s="585" t="str">
        <f>C39</f>
        <v>4eme E</v>
      </c>
      <c r="E51" s="586"/>
      <c r="F51" s="587"/>
      <c r="G51" s="179"/>
      <c r="H51" s="40">
        <f>H50+$K$33+$S$5</f>
        <v>0.56527777777777777</v>
      </c>
      <c r="I51" s="568" t="str">
        <f>I37</f>
        <v>3eme C</v>
      </c>
      <c r="J51" s="568" t="str">
        <f>I39</f>
        <v>3eme E</v>
      </c>
      <c r="K51" s="569"/>
      <c r="L51" s="570"/>
      <c r="M51" s="595"/>
      <c r="N51" s="42">
        <f>N50+$K$33+$S$5</f>
        <v>0.56527777777777777</v>
      </c>
      <c r="O51" s="588" t="str">
        <f>O37</f>
        <v>2eme C</v>
      </c>
      <c r="P51" s="588" t="str">
        <f>O39</f>
        <v>2eme E</v>
      </c>
      <c r="Q51" s="589"/>
      <c r="R51" s="590"/>
      <c r="S51" s="200"/>
      <c r="T51" s="44">
        <f>T50+$K$33+$S$5</f>
        <v>0.56527777777777777</v>
      </c>
      <c r="U51" s="603" t="str">
        <f>U37</f>
        <v>1er C</v>
      </c>
      <c r="V51" s="603" t="str">
        <f>U39</f>
        <v>1er E</v>
      </c>
      <c r="W51" s="604"/>
      <c r="X51" s="605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5"/>
    </row>
    <row r="52" spans="1:36" ht="5.0999999999999996" customHeight="1" thickBot="1" x14ac:dyDescent="0.3">
      <c r="A52" s="693"/>
      <c r="B52" s="19"/>
      <c r="C52" s="2"/>
      <c r="D52" s="2"/>
      <c r="E52" s="521"/>
      <c r="F52" s="522"/>
      <c r="G52" s="179"/>
      <c r="H52" s="2"/>
      <c r="I52" s="2"/>
      <c r="J52" s="47"/>
      <c r="K52" s="521"/>
      <c r="L52" s="521"/>
      <c r="M52" s="595"/>
      <c r="N52" s="2"/>
      <c r="O52" s="2"/>
      <c r="P52" s="2"/>
      <c r="Q52" s="521"/>
      <c r="R52" s="521"/>
      <c r="S52" s="200"/>
      <c r="T52" s="19"/>
      <c r="U52" s="2"/>
      <c r="V52" s="2"/>
      <c r="W52" s="521"/>
      <c r="X52" s="522"/>
      <c r="Y52" s="694"/>
      <c r="Z52" s="694"/>
      <c r="AA52" s="694"/>
      <c r="AB52" s="694"/>
      <c r="AC52" s="694"/>
      <c r="AD52" s="694"/>
      <c r="AE52" s="694"/>
      <c r="AF52" s="694"/>
      <c r="AG52" s="694"/>
      <c r="AH52" s="694"/>
      <c r="AI52" s="694"/>
      <c r="AJ52" s="695"/>
    </row>
    <row r="53" spans="1:36" ht="14.45" customHeight="1" x14ac:dyDescent="0.25">
      <c r="A53" s="693"/>
      <c r="B53" s="24"/>
      <c r="C53" s="713" t="s">
        <v>12</v>
      </c>
      <c r="D53" s="713"/>
      <c r="E53" s="713" t="s">
        <v>16</v>
      </c>
      <c r="F53" s="714"/>
      <c r="G53" s="179"/>
      <c r="H53" s="26"/>
      <c r="I53" s="715" t="s">
        <v>12</v>
      </c>
      <c r="J53" s="715"/>
      <c r="K53" s="715" t="s">
        <v>16</v>
      </c>
      <c r="L53" s="716"/>
      <c r="M53" s="595"/>
      <c r="N53" s="27"/>
      <c r="O53" s="786" t="s">
        <v>12</v>
      </c>
      <c r="P53" s="786"/>
      <c r="Q53" s="786" t="s">
        <v>16</v>
      </c>
      <c r="R53" s="787"/>
      <c r="S53" s="200"/>
      <c r="T53" s="28"/>
      <c r="U53" s="784" t="s">
        <v>12</v>
      </c>
      <c r="V53" s="784"/>
      <c r="W53" s="784" t="s">
        <v>16</v>
      </c>
      <c r="X53" s="785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5"/>
    </row>
    <row r="54" spans="1:36" ht="14.25" customHeight="1" x14ac:dyDescent="0.25">
      <c r="A54" s="693"/>
      <c r="B54" s="30">
        <f>B51+$K$33+$S$5</f>
        <v>0.57708333333333328</v>
      </c>
      <c r="C54" s="31" t="str">
        <f>C38</f>
        <v>4eme D</v>
      </c>
      <c r="D54" s="31" t="str">
        <f>C40</f>
        <v>4eme F</v>
      </c>
      <c r="E54" s="53"/>
      <c r="F54" s="54"/>
      <c r="G54" s="179"/>
      <c r="H54" s="32">
        <f>H51+$K$33+$S$5</f>
        <v>0.57708333333333328</v>
      </c>
      <c r="I54" s="33" t="str">
        <f>I38</f>
        <v>3eme D</v>
      </c>
      <c r="J54" s="33" t="str">
        <f>I40</f>
        <v>3eme F</v>
      </c>
      <c r="K54" s="57"/>
      <c r="L54" s="58"/>
      <c r="M54" s="595"/>
      <c r="N54" s="34">
        <f>N51+$K$33+$S$5</f>
        <v>0.57708333333333328</v>
      </c>
      <c r="O54" s="35" t="str">
        <f>O38</f>
        <v>2eme D</v>
      </c>
      <c r="P54" s="35" t="str">
        <f>O40</f>
        <v>2eme F</v>
      </c>
      <c r="Q54" s="61"/>
      <c r="R54" s="62"/>
      <c r="S54" s="200"/>
      <c r="T54" s="36">
        <f>T51+$K$33+$S$5</f>
        <v>0.57708333333333328</v>
      </c>
      <c r="U54" s="37" t="str">
        <f>U38</f>
        <v>1er D</v>
      </c>
      <c r="V54" s="37" t="str">
        <f>U40</f>
        <v>1er F</v>
      </c>
      <c r="W54" s="65"/>
      <c r="X54" s="66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95"/>
    </row>
    <row r="55" spans="1:36" ht="14.45" customHeight="1" x14ac:dyDescent="0.25">
      <c r="A55" s="693"/>
      <c r="B55" s="129">
        <f>B54+$K$33+$S$5</f>
        <v>0.5888888888888888</v>
      </c>
      <c r="C55" s="31" t="str">
        <f>C35</f>
        <v>4eme A</v>
      </c>
      <c r="D55" s="31" t="str">
        <f>C39</f>
        <v>4eme E</v>
      </c>
      <c r="E55" s="583"/>
      <c r="F55" s="584"/>
      <c r="G55" s="179"/>
      <c r="H55" s="131">
        <f>H54+$K$33+$S$5</f>
        <v>0.5888888888888888</v>
      </c>
      <c r="I55" s="33" t="str">
        <f>I35</f>
        <v>3eme A</v>
      </c>
      <c r="J55" s="33" t="str">
        <f>I39</f>
        <v>3eme E</v>
      </c>
      <c r="K55" s="572"/>
      <c r="L55" s="573"/>
      <c r="M55" s="595"/>
      <c r="N55" s="133">
        <f>N54+$K$33+$S$5</f>
        <v>0.5888888888888888</v>
      </c>
      <c r="O55" s="35" t="str">
        <f>O35</f>
        <v>2eme A</v>
      </c>
      <c r="P55" s="35" t="str">
        <f>O39</f>
        <v>2eme E</v>
      </c>
      <c r="Q55" s="574"/>
      <c r="R55" s="575"/>
      <c r="S55" s="200"/>
      <c r="T55" s="135">
        <f>T54+$K$33+$S$5</f>
        <v>0.5888888888888888</v>
      </c>
      <c r="U55" s="37" t="str">
        <f>U35</f>
        <v>1er A</v>
      </c>
      <c r="V55" s="37" t="str">
        <f>U39</f>
        <v>1er E</v>
      </c>
      <c r="W55" s="606"/>
      <c r="X55" s="607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5"/>
    </row>
    <row r="56" spans="1:36" ht="13.5" customHeight="1" thickBot="1" x14ac:dyDescent="0.3">
      <c r="A56" s="693"/>
      <c r="B56" s="38">
        <f>B55+$K$33+$S$5</f>
        <v>0.60069444444444431</v>
      </c>
      <c r="C56" s="585" t="str">
        <f>C36</f>
        <v>4eme B</v>
      </c>
      <c r="D56" s="585" t="str">
        <f>C37</f>
        <v>4eme C</v>
      </c>
      <c r="E56" s="55"/>
      <c r="F56" s="56"/>
      <c r="G56" s="179"/>
      <c r="H56" s="40">
        <f>H55+$K$33+$S$5</f>
        <v>0.60069444444444431</v>
      </c>
      <c r="I56" s="568" t="str">
        <f>I36</f>
        <v>3eme B</v>
      </c>
      <c r="J56" s="568" t="str">
        <f>I37</f>
        <v>3eme C</v>
      </c>
      <c r="K56" s="59"/>
      <c r="L56" s="60"/>
      <c r="M56" s="595"/>
      <c r="N56" s="42">
        <f>N55+$K$33+$S$5</f>
        <v>0.60069444444444431</v>
      </c>
      <c r="O56" s="588" t="str">
        <f>O36</f>
        <v>2eme B</v>
      </c>
      <c r="P56" s="588" t="str">
        <f>O37</f>
        <v>2eme C</v>
      </c>
      <c r="Q56" s="63"/>
      <c r="R56" s="64"/>
      <c r="S56" s="200"/>
      <c r="T56" s="44">
        <f>T55+$K$33+$S$5</f>
        <v>0.60069444444444431</v>
      </c>
      <c r="U56" s="603" t="str">
        <f>U36</f>
        <v>1er B</v>
      </c>
      <c r="V56" s="603" t="str">
        <f>U37</f>
        <v>1er C</v>
      </c>
      <c r="W56" s="67"/>
      <c r="X56" s="68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5"/>
    </row>
    <row r="57" spans="1:36" ht="5.0999999999999996" customHeight="1" thickBot="1" x14ac:dyDescent="0.3">
      <c r="A57" s="693"/>
      <c r="B57" s="19"/>
      <c r="C57" s="2"/>
      <c r="D57" s="2"/>
      <c r="E57" s="521"/>
      <c r="F57" s="522"/>
      <c r="G57" s="179"/>
      <c r="H57" s="2"/>
      <c r="I57" s="2"/>
      <c r="J57" s="47"/>
      <c r="K57" s="521"/>
      <c r="L57" s="521"/>
      <c r="M57" s="595"/>
      <c r="N57" s="2"/>
      <c r="O57" s="2"/>
      <c r="P57" s="2"/>
      <c r="Q57" s="521"/>
      <c r="R57" s="521"/>
      <c r="S57" s="200"/>
      <c r="T57" s="19"/>
      <c r="U57" s="2"/>
      <c r="V57" s="2"/>
      <c r="W57" s="521"/>
      <c r="X57" s="522"/>
      <c r="Y57" s="694"/>
      <c r="Z57" s="694"/>
      <c r="AA57" s="694"/>
      <c r="AB57" s="694"/>
      <c r="AC57" s="694"/>
      <c r="AD57" s="694"/>
      <c r="AE57" s="694"/>
      <c r="AF57" s="694"/>
      <c r="AG57" s="694"/>
      <c r="AH57" s="694"/>
      <c r="AI57" s="694"/>
      <c r="AJ57" s="695"/>
    </row>
    <row r="58" spans="1:36" ht="14.45" customHeight="1" x14ac:dyDescent="0.25">
      <c r="A58" s="693"/>
      <c r="B58" s="24"/>
      <c r="C58" s="713" t="s">
        <v>165</v>
      </c>
      <c r="D58" s="713"/>
      <c r="E58" s="713" t="s">
        <v>16</v>
      </c>
      <c r="F58" s="714"/>
      <c r="G58" s="179"/>
      <c r="H58" s="26"/>
      <c r="I58" s="715" t="s">
        <v>12</v>
      </c>
      <c r="J58" s="715"/>
      <c r="K58" s="715" t="s">
        <v>16</v>
      </c>
      <c r="L58" s="716"/>
      <c r="M58" s="595"/>
      <c r="N58" s="27"/>
      <c r="O58" s="786" t="s">
        <v>12</v>
      </c>
      <c r="P58" s="786"/>
      <c r="Q58" s="786" t="s">
        <v>16</v>
      </c>
      <c r="R58" s="787"/>
      <c r="S58" s="200"/>
      <c r="T58" s="28"/>
      <c r="U58" s="784" t="s">
        <v>12</v>
      </c>
      <c r="V58" s="784"/>
      <c r="W58" s="784" t="s">
        <v>16</v>
      </c>
      <c r="X58" s="785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5"/>
    </row>
    <row r="59" spans="1:36" ht="14.25" customHeight="1" x14ac:dyDescent="0.25">
      <c r="A59" s="693"/>
      <c r="B59" s="30">
        <f>B56+$K$33+$S$5</f>
        <v>0.61249999999999982</v>
      </c>
      <c r="C59" s="31" t="str">
        <f>C39</f>
        <v>4eme E</v>
      </c>
      <c r="D59" s="31" t="str">
        <f>C38</f>
        <v>4eme D</v>
      </c>
      <c r="E59" s="53"/>
      <c r="F59" s="54"/>
      <c r="G59" s="179"/>
      <c r="H59" s="32">
        <f>H56+$K$33+$S$5</f>
        <v>0.61249999999999982</v>
      </c>
      <c r="I59" s="33" t="str">
        <f>I39</f>
        <v>3eme E</v>
      </c>
      <c r="J59" s="33" t="str">
        <f>I38</f>
        <v>3eme D</v>
      </c>
      <c r="K59" s="57"/>
      <c r="L59" s="58"/>
      <c r="M59" s="595"/>
      <c r="N59" s="34">
        <f>N56+$K$33+$S$5</f>
        <v>0.61249999999999982</v>
      </c>
      <c r="O59" s="35" t="str">
        <f>O39</f>
        <v>2eme E</v>
      </c>
      <c r="P59" s="35" t="str">
        <f>O38</f>
        <v>2eme D</v>
      </c>
      <c r="Q59" s="61"/>
      <c r="R59" s="62"/>
      <c r="S59" s="200"/>
      <c r="T59" s="36">
        <f>T56+$K$33+$S$5</f>
        <v>0.61249999999999982</v>
      </c>
      <c r="U59" s="37" t="str">
        <f>U39</f>
        <v>1er E</v>
      </c>
      <c r="V59" s="37" t="str">
        <f>U38</f>
        <v>1er D</v>
      </c>
      <c r="W59" s="65"/>
      <c r="X59" s="66"/>
      <c r="Y59" s="694"/>
      <c r="Z59" s="694"/>
      <c r="AA59" s="694"/>
      <c r="AB59" s="694"/>
      <c r="AC59" s="694"/>
      <c r="AD59" s="694"/>
      <c r="AE59" s="694"/>
      <c r="AF59" s="694"/>
      <c r="AG59" s="694"/>
      <c r="AH59" s="694"/>
      <c r="AI59" s="694"/>
      <c r="AJ59" s="695"/>
    </row>
    <row r="60" spans="1:36" ht="13.5" customHeight="1" x14ac:dyDescent="0.25">
      <c r="A60" s="693"/>
      <c r="B60" s="129">
        <f>B59+$K$33+$S$5</f>
        <v>0.62430555555555534</v>
      </c>
      <c r="C60" s="31" t="str">
        <f>C37</f>
        <v>4eme C</v>
      </c>
      <c r="D60" s="31" t="str">
        <f>C35</f>
        <v>4eme A</v>
      </c>
      <c r="E60" s="583"/>
      <c r="F60" s="584"/>
      <c r="G60" s="179"/>
      <c r="H60" s="131">
        <f>H59+$K$33+$S$5</f>
        <v>0.62430555555555534</v>
      </c>
      <c r="I60" s="33" t="str">
        <f>I37</f>
        <v>3eme C</v>
      </c>
      <c r="J60" s="33" t="str">
        <f>I35</f>
        <v>3eme A</v>
      </c>
      <c r="K60" s="572"/>
      <c r="L60" s="573"/>
      <c r="M60" s="595"/>
      <c r="N60" s="133">
        <f>N59+$K$33+$S$5</f>
        <v>0.62430555555555534</v>
      </c>
      <c r="O60" s="35" t="str">
        <f>O37</f>
        <v>2eme C</v>
      </c>
      <c r="P60" s="35" t="str">
        <f>O35</f>
        <v>2eme A</v>
      </c>
      <c r="Q60" s="574"/>
      <c r="R60" s="575"/>
      <c r="S60" s="200"/>
      <c r="T60" s="135">
        <f>T59+$K$33+$S$5</f>
        <v>0.62430555555555534</v>
      </c>
      <c r="U60" s="37" t="str">
        <f>U37</f>
        <v>1er C</v>
      </c>
      <c r="V60" s="37" t="str">
        <f>U35</f>
        <v>1er A</v>
      </c>
      <c r="W60" s="606"/>
      <c r="X60" s="607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5"/>
    </row>
    <row r="61" spans="1:36" ht="13.5" customHeight="1" thickBot="1" x14ac:dyDescent="0.3">
      <c r="A61" s="693"/>
      <c r="B61" s="38">
        <f>B60+$K$33+$S$5</f>
        <v>0.63611111111111085</v>
      </c>
      <c r="C61" s="585" t="str">
        <f>C40</f>
        <v>4eme F</v>
      </c>
      <c r="D61" s="585" t="str">
        <f>C36</f>
        <v>4eme B</v>
      </c>
      <c r="E61" s="55"/>
      <c r="F61" s="56"/>
      <c r="G61" s="179"/>
      <c r="H61" s="40">
        <f>H60+$K$33+$S$5</f>
        <v>0.63611111111111085</v>
      </c>
      <c r="I61" s="568" t="str">
        <f>I40</f>
        <v>3eme F</v>
      </c>
      <c r="J61" s="568" t="str">
        <f>I36</f>
        <v>3eme B</v>
      </c>
      <c r="K61" s="59"/>
      <c r="L61" s="60"/>
      <c r="M61" s="595"/>
      <c r="N61" s="42">
        <f>N60+$K$33+$S$5</f>
        <v>0.63611111111111085</v>
      </c>
      <c r="O61" s="588" t="str">
        <f>O40</f>
        <v>2eme F</v>
      </c>
      <c r="P61" s="588" t="str">
        <f>O36</f>
        <v>2eme B</v>
      </c>
      <c r="Q61" s="63"/>
      <c r="R61" s="64"/>
      <c r="S61" s="200"/>
      <c r="T61" s="44">
        <f>T60+$K$33+$S$5</f>
        <v>0.63611111111111085</v>
      </c>
      <c r="U61" s="603" t="str">
        <f>U40</f>
        <v>1er F</v>
      </c>
      <c r="V61" s="603" t="str">
        <f>U36</f>
        <v>1er B</v>
      </c>
      <c r="W61" s="67"/>
      <c r="X61" s="68"/>
      <c r="Y61" s="69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5"/>
    </row>
    <row r="62" spans="1:36" ht="5.0999999999999996" customHeight="1" thickBot="1" x14ac:dyDescent="0.3">
      <c r="A62" s="693"/>
      <c r="B62" s="19"/>
      <c r="C62" s="2"/>
      <c r="D62" s="2"/>
      <c r="E62" s="521"/>
      <c r="F62" s="522"/>
      <c r="G62" s="179"/>
      <c r="H62" s="2"/>
      <c r="I62" s="2"/>
      <c r="J62" s="47"/>
      <c r="K62" s="521"/>
      <c r="L62" s="521"/>
      <c r="M62" s="595"/>
      <c r="N62" s="2"/>
      <c r="O62" s="2"/>
      <c r="P62" s="2"/>
      <c r="Q62" s="521"/>
      <c r="R62" s="521"/>
      <c r="S62" s="200"/>
      <c r="T62" s="19"/>
      <c r="U62" s="2"/>
      <c r="V62" s="2"/>
      <c r="W62" s="521"/>
      <c r="X62" s="522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5"/>
    </row>
    <row r="63" spans="1:36" ht="14.45" customHeight="1" x14ac:dyDescent="0.25">
      <c r="A63" s="693"/>
      <c r="B63" s="24"/>
      <c r="C63" s="713" t="s">
        <v>166</v>
      </c>
      <c r="D63" s="713"/>
      <c r="E63" s="713" t="s">
        <v>16</v>
      </c>
      <c r="F63" s="714"/>
      <c r="G63" s="179"/>
      <c r="H63" s="26"/>
      <c r="I63" s="1080" t="s">
        <v>12</v>
      </c>
      <c r="J63" s="715"/>
      <c r="K63" s="715" t="s">
        <v>16</v>
      </c>
      <c r="L63" s="716"/>
      <c r="M63" s="595"/>
      <c r="N63" s="27"/>
      <c r="O63" s="786" t="s">
        <v>12</v>
      </c>
      <c r="P63" s="786"/>
      <c r="Q63" s="786" t="s">
        <v>16</v>
      </c>
      <c r="R63" s="787"/>
      <c r="S63" s="200"/>
      <c r="T63" s="28"/>
      <c r="U63" s="784" t="s">
        <v>12</v>
      </c>
      <c r="V63" s="784"/>
      <c r="W63" s="784" t="s">
        <v>16</v>
      </c>
      <c r="X63" s="785"/>
      <c r="Y63" s="694"/>
      <c r="Z63" s="694"/>
      <c r="AA63" s="694"/>
      <c r="AB63" s="694"/>
      <c r="AC63" s="694"/>
      <c r="AD63" s="694"/>
      <c r="AE63" s="694"/>
      <c r="AF63" s="694"/>
      <c r="AG63" s="694"/>
      <c r="AH63" s="694"/>
      <c r="AI63" s="694"/>
      <c r="AJ63" s="695"/>
    </row>
    <row r="64" spans="1:36" ht="14.25" customHeight="1" x14ac:dyDescent="0.25">
      <c r="A64" s="693"/>
      <c r="B64" s="30">
        <f>B61+$K$33+$S$5</f>
        <v>0.64791666666666636</v>
      </c>
      <c r="C64" s="31" t="str">
        <f>C35</f>
        <v>4eme A</v>
      </c>
      <c r="D64" s="31" t="str">
        <f>C38</f>
        <v>4eme D</v>
      </c>
      <c r="E64" s="53"/>
      <c r="F64" s="54"/>
      <c r="G64" s="179"/>
      <c r="H64" s="32">
        <f>H61+$K$33+$S$5</f>
        <v>0.64791666666666636</v>
      </c>
      <c r="I64" s="608" t="str">
        <f>I35</f>
        <v>3eme A</v>
      </c>
      <c r="J64" s="33" t="str">
        <f>I38</f>
        <v>3eme D</v>
      </c>
      <c r="K64" s="57"/>
      <c r="L64" s="58"/>
      <c r="M64" s="595"/>
      <c r="N64" s="34">
        <f>N61+$K$33+$S$5</f>
        <v>0.64791666666666636</v>
      </c>
      <c r="O64" s="35" t="str">
        <f>O35</f>
        <v>2eme A</v>
      </c>
      <c r="P64" s="35" t="str">
        <f>O38</f>
        <v>2eme D</v>
      </c>
      <c r="Q64" s="61"/>
      <c r="R64" s="62"/>
      <c r="S64" s="200"/>
      <c r="T64" s="36">
        <f>T61+$K$33+$S$5</f>
        <v>0.64791666666666636</v>
      </c>
      <c r="U64" s="37" t="str">
        <f>U35</f>
        <v>1er A</v>
      </c>
      <c r="V64" s="37" t="str">
        <f>U38</f>
        <v>1er D</v>
      </c>
      <c r="W64" s="65"/>
      <c r="X64" s="66"/>
      <c r="Y64" s="694"/>
      <c r="Z64" s="694"/>
      <c r="AA64" s="694"/>
      <c r="AB64" s="694"/>
      <c r="AC64" s="694"/>
      <c r="AD64" s="694"/>
      <c r="AE64" s="694"/>
      <c r="AF64" s="694"/>
      <c r="AG64" s="694"/>
      <c r="AH64" s="694"/>
      <c r="AI64" s="694"/>
      <c r="AJ64" s="695"/>
    </row>
    <row r="65" spans="1:36" ht="14.45" customHeight="1" x14ac:dyDescent="0.25">
      <c r="A65" s="693"/>
      <c r="B65" s="129">
        <f>B64+$K$33+$S$5</f>
        <v>0.65972222222222188</v>
      </c>
      <c r="C65" s="31" t="str">
        <f>C36</f>
        <v>4eme B</v>
      </c>
      <c r="D65" s="31" t="str">
        <f>C39</f>
        <v>4eme E</v>
      </c>
      <c r="E65" s="583"/>
      <c r="F65" s="584"/>
      <c r="G65" s="179"/>
      <c r="H65" s="131">
        <f>H64+$K$33+$S$5</f>
        <v>0.65972222222222188</v>
      </c>
      <c r="I65" s="608" t="str">
        <f>I36</f>
        <v>3eme B</v>
      </c>
      <c r="J65" s="33" t="str">
        <f>I39</f>
        <v>3eme E</v>
      </c>
      <c r="K65" s="572"/>
      <c r="L65" s="573"/>
      <c r="M65" s="595"/>
      <c r="N65" s="133">
        <f>N64+$K$33+$S$5</f>
        <v>0.65972222222222188</v>
      </c>
      <c r="O65" s="35" t="str">
        <f>O36</f>
        <v>2eme B</v>
      </c>
      <c r="P65" s="35" t="str">
        <f>O39</f>
        <v>2eme E</v>
      </c>
      <c r="Q65" s="574"/>
      <c r="R65" s="575"/>
      <c r="S65" s="200"/>
      <c r="T65" s="135">
        <f>T64+$K$33+$S$5</f>
        <v>0.65972222222222188</v>
      </c>
      <c r="U65" s="37" t="str">
        <f>U36</f>
        <v>1er B</v>
      </c>
      <c r="V65" s="37" t="str">
        <f>U39</f>
        <v>1er E</v>
      </c>
      <c r="W65" s="606"/>
      <c r="X65" s="607"/>
      <c r="Y65" s="694"/>
      <c r="Z65" s="694"/>
      <c r="AA65" s="694"/>
      <c r="AB65" s="694"/>
      <c r="AC65" s="694"/>
      <c r="AD65" s="694"/>
      <c r="AE65" s="694"/>
      <c r="AF65" s="694"/>
      <c r="AG65" s="694"/>
      <c r="AH65" s="694"/>
      <c r="AI65" s="694"/>
      <c r="AJ65" s="695"/>
    </row>
    <row r="66" spans="1:36" ht="13.5" customHeight="1" thickBot="1" x14ac:dyDescent="0.3">
      <c r="A66" s="693"/>
      <c r="B66" s="38">
        <f>B65+$K$33+$S$5</f>
        <v>0.67152777777777739</v>
      </c>
      <c r="C66" s="585" t="str">
        <f>C40</f>
        <v>4eme F</v>
      </c>
      <c r="D66" s="585" t="str">
        <f>C37</f>
        <v>4eme C</v>
      </c>
      <c r="E66" s="55"/>
      <c r="F66" s="56"/>
      <c r="G66" s="598"/>
      <c r="H66" s="40">
        <f>H65+$K$33+$S$5</f>
        <v>0.67152777777777739</v>
      </c>
      <c r="I66" s="609" t="str">
        <f>I40</f>
        <v>3eme F</v>
      </c>
      <c r="J66" s="568" t="str">
        <f>I37</f>
        <v>3eme C</v>
      </c>
      <c r="K66" s="59"/>
      <c r="L66" s="60"/>
      <c r="M66" s="596"/>
      <c r="N66" s="42">
        <f>N65+$K$33+$S$5</f>
        <v>0.67152777777777739</v>
      </c>
      <c r="O66" s="588" t="str">
        <f>O40</f>
        <v>2eme F</v>
      </c>
      <c r="P66" s="588" t="str">
        <f>O37</f>
        <v>2eme C</v>
      </c>
      <c r="Q66" s="63"/>
      <c r="R66" s="64"/>
      <c r="S66" s="494"/>
      <c r="T66" s="44">
        <f>T65+$K$33+$S$5</f>
        <v>0.67152777777777739</v>
      </c>
      <c r="U66" s="603" t="str">
        <f>U40</f>
        <v>1er F</v>
      </c>
      <c r="V66" s="603" t="str">
        <f>U37</f>
        <v>1er C</v>
      </c>
      <c r="W66" s="67"/>
      <c r="X66" s="68"/>
      <c r="Y66" s="694"/>
      <c r="Z66" s="694"/>
      <c r="AA66" s="694"/>
      <c r="AB66" s="694"/>
      <c r="AC66" s="694"/>
      <c r="AD66" s="694"/>
      <c r="AE66" s="694"/>
      <c r="AF66" s="694"/>
      <c r="AG66" s="694"/>
      <c r="AH66" s="694"/>
      <c r="AI66" s="694"/>
      <c r="AJ66" s="695"/>
    </row>
    <row r="67" spans="1:36" ht="5.0999999999999996" customHeight="1" thickBot="1" x14ac:dyDescent="0.3">
      <c r="A67" s="19"/>
      <c r="B67" s="120"/>
      <c r="C67" s="119"/>
      <c r="D67" s="119"/>
      <c r="E67" s="173"/>
      <c r="F67" s="173"/>
      <c r="G67" s="89"/>
      <c r="H67" s="120"/>
      <c r="I67" s="119"/>
      <c r="J67" s="119"/>
      <c r="K67" s="173"/>
      <c r="L67" s="173"/>
      <c r="M67" s="89"/>
      <c r="N67" s="120"/>
      <c r="O67" s="119"/>
      <c r="P67" s="119"/>
      <c r="Q67" s="173"/>
      <c r="R67" s="173"/>
      <c r="S67" s="89"/>
      <c r="T67" s="532"/>
      <c r="U67" s="530"/>
      <c r="V67" s="530"/>
      <c r="W67" s="116"/>
      <c r="X67" s="117"/>
      <c r="Y67" s="694"/>
      <c r="Z67" s="694"/>
      <c r="AA67" s="694"/>
      <c r="AB67" s="694"/>
      <c r="AC67" s="694"/>
      <c r="AD67" s="694"/>
      <c r="AE67" s="694"/>
      <c r="AF67" s="694"/>
      <c r="AG67" s="694"/>
      <c r="AH67" s="694"/>
      <c r="AI67" s="694"/>
      <c r="AJ67" s="695"/>
    </row>
    <row r="68" spans="1:36" ht="14.45" customHeight="1" thickBot="1" x14ac:dyDescent="0.3">
      <c r="A68" s="19"/>
      <c r="B68" s="783" t="s">
        <v>47</v>
      </c>
      <c r="C68" s="762"/>
      <c r="D68" s="762"/>
      <c r="E68" s="762"/>
      <c r="F68" s="762"/>
      <c r="G68" s="762"/>
      <c r="H68" s="762"/>
      <c r="I68" s="762"/>
      <c r="J68" s="762"/>
      <c r="K68" s="762"/>
      <c r="L68" s="762"/>
      <c r="M68" s="762"/>
      <c r="N68" s="762"/>
      <c r="O68" s="762"/>
      <c r="P68" s="762"/>
      <c r="Q68" s="762"/>
      <c r="R68" s="762"/>
      <c r="S68" s="762"/>
      <c r="T68" s="762"/>
      <c r="U68" s="762"/>
      <c r="V68" s="762"/>
      <c r="W68" s="762"/>
      <c r="X68" s="763"/>
      <c r="Y68" s="694"/>
      <c r="Z68" s="694"/>
      <c r="AA68" s="694"/>
      <c r="AB68" s="694"/>
      <c r="AC68" s="694"/>
      <c r="AD68" s="694"/>
      <c r="AE68" s="694"/>
      <c r="AF68" s="694"/>
      <c r="AG68" s="694"/>
      <c r="AH68" s="694"/>
      <c r="AI68" s="694"/>
      <c r="AJ68" s="695"/>
    </row>
    <row r="69" spans="1:36" ht="14.45" customHeight="1" x14ac:dyDescent="0.25">
      <c r="A69" s="19"/>
      <c r="B69" s="81" t="s">
        <v>21</v>
      </c>
      <c r="C69" s="711" t="s">
        <v>41</v>
      </c>
      <c r="D69" s="711"/>
      <c r="E69" s="711" t="s">
        <v>15</v>
      </c>
      <c r="F69" s="712"/>
      <c r="G69" s="122"/>
      <c r="H69" s="81" t="s">
        <v>21</v>
      </c>
      <c r="I69" s="711" t="s">
        <v>42</v>
      </c>
      <c r="J69" s="711"/>
      <c r="K69" s="711" t="s">
        <v>15</v>
      </c>
      <c r="L69" s="712"/>
      <c r="M69" s="75"/>
      <c r="N69" s="81" t="s">
        <v>21</v>
      </c>
      <c r="O69" s="711" t="s">
        <v>43</v>
      </c>
      <c r="P69" s="711"/>
      <c r="Q69" s="711" t="s">
        <v>15</v>
      </c>
      <c r="R69" s="712"/>
      <c r="S69" s="122"/>
      <c r="T69" s="81" t="s">
        <v>21</v>
      </c>
      <c r="U69" s="711" t="s">
        <v>55</v>
      </c>
      <c r="V69" s="711"/>
      <c r="W69" s="711" t="s">
        <v>15</v>
      </c>
      <c r="X69" s="712"/>
      <c r="Y69" s="694"/>
      <c r="Z69" s="694"/>
      <c r="AA69" s="694"/>
      <c r="AB69" s="694"/>
      <c r="AC69" s="694"/>
      <c r="AD69" s="694"/>
      <c r="AE69" s="694"/>
      <c r="AF69" s="694"/>
      <c r="AG69" s="694"/>
      <c r="AH69" s="694"/>
      <c r="AI69" s="694"/>
      <c r="AJ69" s="695"/>
    </row>
    <row r="70" spans="1:36" ht="14.45" customHeight="1" x14ac:dyDescent="0.25">
      <c r="A70" s="19"/>
      <c r="B70" s="49">
        <v>1</v>
      </c>
      <c r="C70" s="680" t="str">
        <f t="shared" ref="C70:C75" si="3">VLOOKUP($B70,$B$87:$E$92,2,FALSE)</f>
        <v>4eme A</v>
      </c>
      <c r="D70" s="680"/>
      <c r="E70" s="683">
        <f t="shared" ref="E70:E75" si="4">VLOOKUP($B70,$B$87:$E$92,4,FALSE)</f>
        <v>5.9999999999999997E-7</v>
      </c>
      <c r="F70" s="684"/>
      <c r="G70" s="105"/>
      <c r="H70" s="49">
        <v>1</v>
      </c>
      <c r="I70" s="680" t="str">
        <f t="shared" ref="I70:I75" si="5">VLOOKUP($H70,$H$87:$K$92,2,FALSE)</f>
        <v>3eme A</v>
      </c>
      <c r="J70" s="680"/>
      <c r="K70" s="882">
        <f>VLOOKUP($H70,$H$87:$K$92,4,FALSE)</f>
        <v>5.9999999999999997E-7</v>
      </c>
      <c r="L70" s="1079"/>
      <c r="M70" s="76"/>
      <c r="N70" s="49">
        <v>1</v>
      </c>
      <c r="O70" s="680" t="str">
        <f>VLOOKUP($N70,$N$87:$Q$92,2,FALSE)</f>
        <v>2eme A</v>
      </c>
      <c r="P70" s="680"/>
      <c r="Q70" s="767">
        <f t="shared" ref="Q70:Q75" si="6">VLOOKUP($N70,$N$87:$Q$92,4,FALSE)</f>
        <v>5.9999999999999997E-7</v>
      </c>
      <c r="R70" s="922"/>
      <c r="S70" s="105"/>
      <c r="T70" s="49">
        <v>1</v>
      </c>
      <c r="U70" s="680" t="str">
        <f t="shared" ref="U70:U75" si="7">VLOOKUP($T70,$T$87:$W$92,2,FALSE)</f>
        <v>1er A</v>
      </c>
      <c r="V70" s="680"/>
      <c r="W70" s="767">
        <f>VLOOKUP($T70,$T$87:$W$92,4,FALSE)</f>
        <v>5.9999999999999997E-7</v>
      </c>
      <c r="X70" s="922"/>
      <c r="Y70" s="694"/>
      <c r="Z70" s="694"/>
      <c r="AA70" s="694"/>
      <c r="AB70" s="694"/>
      <c r="AC70" s="694"/>
      <c r="AD70" s="694"/>
      <c r="AE70" s="694"/>
      <c r="AF70" s="694"/>
      <c r="AG70" s="694"/>
      <c r="AH70" s="694"/>
      <c r="AI70" s="694"/>
      <c r="AJ70" s="695"/>
    </row>
    <row r="71" spans="1:36" ht="14.45" customHeight="1" x14ac:dyDescent="0.25">
      <c r="A71" s="19"/>
      <c r="B71" s="49">
        <v>2</v>
      </c>
      <c r="C71" s="680" t="str">
        <f t="shared" si="3"/>
        <v>4eme B</v>
      </c>
      <c r="D71" s="680"/>
      <c r="E71" s="683">
        <f t="shared" si="4"/>
        <v>4.9999999999999998E-7</v>
      </c>
      <c r="F71" s="684"/>
      <c r="G71" s="105"/>
      <c r="H71" s="49">
        <v>2</v>
      </c>
      <c r="I71" s="680" t="str">
        <f t="shared" si="5"/>
        <v>3eme B</v>
      </c>
      <c r="J71" s="680"/>
      <c r="K71" s="683">
        <f t="shared" ref="K71:K75" si="8">VLOOKUP($H71,$H$87:$K$92,4,FALSE)</f>
        <v>4.9999999999999998E-7</v>
      </c>
      <c r="L71" s="684"/>
      <c r="M71" s="76"/>
      <c r="N71" s="49">
        <v>2</v>
      </c>
      <c r="O71" s="680" t="str">
        <f t="shared" ref="O71:O74" si="9">VLOOKUP($N71,$N$87:$Q$92,2,FALSE)</f>
        <v>2eme B</v>
      </c>
      <c r="P71" s="680"/>
      <c r="Q71" s="767">
        <f t="shared" si="6"/>
        <v>4.9999999999999998E-7</v>
      </c>
      <c r="R71" s="922"/>
      <c r="S71" s="105"/>
      <c r="T71" s="49">
        <v>2</v>
      </c>
      <c r="U71" s="680" t="str">
        <f t="shared" si="7"/>
        <v>1er B</v>
      </c>
      <c r="V71" s="680"/>
      <c r="W71" s="767">
        <f t="shared" ref="W71:W75" si="10">VLOOKUP($T71,$T$87:$W$92,4,FALSE)</f>
        <v>4.9999999999999998E-7</v>
      </c>
      <c r="X71" s="922"/>
      <c r="Y71" s="694"/>
      <c r="Z71" s="694"/>
      <c r="AA71" s="694"/>
      <c r="AB71" s="694"/>
      <c r="AC71" s="694"/>
      <c r="AD71" s="694"/>
      <c r="AE71" s="694"/>
      <c r="AF71" s="694"/>
      <c r="AG71" s="694"/>
      <c r="AH71" s="694"/>
      <c r="AI71" s="694"/>
      <c r="AJ71" s="695"/>
    </row>
    <row r="72" spans="1:36" ht="14.45" customHeight="1" x14ac:dyDescent="0.25">
      <c r="A72" s="19"/>
      <c r="B72" s="49">
        <v>3</v>
      </c>
      <c r="C72" s="680" t="str">
        <f t="shared" si="3"/>
        <v>4eme C</v>
      </c>
      <c r="D72" s="680"/>
      <c r="E72" s="683">
        <f t="shared" si="4"/>
        <v>3.9999999999999998E-7</v>
      </c>
      <c r="F72" s="684"/>
      <c r="G72" s="105"/>
      <c r="H72" s="49">
        <v>3</v>
      </c>
      <c r="I72" s="680" t="str">
        <f t="shared" si="5"/>
        <v>3eme C</v>
      </c>
      <c r="J72" s="680"/>
      <c r="K72" s="683">
        <f t="shared" si="8"/>
        <v>3.9999999999999998E-7</v>
      </c>
      <c r="L72" s="684"/>
      <c r="M72" s="76"/>
      <c r="N72" s="49">
        <v>3</v>
      </c>
      <c r="O72" s="680" t="str">
        <f t="shared" si="9"/>
        <v>2eme C</v>
      </c>
      <c r="P72" s="680"/>
      <c r="Q72" s="767">
        <f t="shared" si="6"/>
        <v>3.9999999999999998E-7</v>
      </c>
      <c r="R72" s="922"/>
      <c r="S72" s="105"/>
      <c r="T72" s="49">
        <v>3</v>
      </c>
      <c r="U72" s="680" t="str">
        <f t="shared" si="7"/>
        <v>1er C</v>
      </c>
      <c r="V72" s="680"/>
      <c r="W72" s="767">
        <f t="shared" si="10"/>
        <v>3.9999999999999998E-7</v>
      </c>
      <c r="X72" s="922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5"/>
    </row>
    <row r="73" spans="1:36" ht="14.45" customHeight="1" x14ac:dyDescent="0.25">
      <c r="A73" s="19"/>
      <c r="B73" s="108">
        <v>4</v>
      </c>
      <c r="C73" s="680" t="str">
        <f t="shared" si="3"/>
        <v>4eme D</v>
      </c>
      <c r="D73" s="680"/>
      <c r="E73" s="683">
        <f t="shared" si="4"/>
        <v>2.9999999999999999E-7</v>
      </c>
      <c r="F73" s="684"/>
      <c r="G73" s="105"/>
      <c r="H73" s="108">
        <v>4</v>
      </c>
      <c r="I73" s="680" t="str">
        <f t="shared" si="5"/>
        <v>3eme D</v>
      </c>
      <c r="J73" s="680"/>
      <c r="K73" s="683">
        <f t="shared" si="8"/>
        <v>2.9999999999999999E-7</v>
      </c>
      <c r="L73" s="684"/>
      <c r="M73" s="76"/>
      <c r="N73" s="108">
        <v>4</v>
      </c>
      <c r="O73" s="680" t="str">
        <f t="shared" si="9"/>
        <v>2eme D</v>
      </c>
      <c r="P73" s="680"/>
      <c r="Q73" s="767">
        <f t="shared" si="6"/>
        <v>2.9999999999999999E-7</v>
      </c>
      <c r="R73" s="922"/>
      <c r="S73" s="105"/>
      <c r="T73" s="108">
        <v>4</v>
      </c>
      <c r="U73" s="680" t="str">
        <f t="shared" si="7"/>
        <v>1er D</v>
      </c>
      <c r="V73" s="680"/>
      <c r="W73" s="767">
        <f t="shared" si="10"/>
        <v>2.9999999999999999E-7</v>
      </c>
      <c r="X73" s="922"/>
      <c r="Y73" s="694"/>
      <c r="Z73" s="694"/>
      <c r="AA73" s="694"/>
      <c r="AB73" s="694"/>
      <c r="AC73" s="694"/>
      <c r="AD73" s="694"/>
      <c r="AE73" s="694"/>
      <c r="AF73" s="694"/>
      <c r="AG73" s="694"/>
      <c r="AH73" s="694"/>
      <c r="AI73" s="694"/>
      <c r="AJ73" s="695"/>
    </row>
    <row r="74" spans="1:36" ht="14.45" customHeight="1" x14ac:dyDescent="0.25">
      <c r="A74" s="19"/>
      <c r="B74" s="108">
        <v>5</v>
      </c>
      <c r="C74" s="680" t="str">
        <f t="shared" si="3"/>
        <v>4eme E</v>
      </c>
      <c r="D74" s="680"/>
      <c r="E74" s="683">
        <f t="shared" si="4"/>
        <v>1.9999999999999999E-7</v>
      </c>
      <c r="F74" s="684"/>
      <c r="G74" s="105"/>
      <c r="H74" s="108">
        <v>5</v>
      </c>
      <c r="I74" s="680" t="str">
        <f t="shared" si="5"/>
        <v>3eme E</v>
      </c>
      <c r="J74" s="680"/>
      <c r="K74" s="683">
        <f t="shared" si="8"/>
        <v>1.9999999999999999E-7</v>
      </c>
      <c r="L74" s="684"/>
      <c r="M74" s="76"/>
      <c r="N74" s="108">
        <v>5</v>
      </c>
      <c r="O74" s="680" t="str">
        <f t="shared" si="9"/>
        <v>2eme E</v>
      </c>
      <c r="P74" s="680"/>
      <c r="Q74" s="767">
        <f t="shared" si="6"/>
        <v>1.9999999999999999E-7</v>
      </c>
      <c r="R74" s="922"/>
      <c r="S74" s="105"/>
      <c r="T74" s="108">
        <v>5</v>
      </c>
      <c r="U74" s="680" t="str">
        <f t="shared" si="7"/>
        <v>1er E</v>
      </c>
      <c r="V74" s="680"/>
      <c r="W74" s="767">
        <f t="shared" si="10"/>
        <v>1.9999999999999999E-7</v>
      </c>
      <c r="X74" s="922"/>
      <c r="Y74" s="694"/>
      <c r="Z74" s="694"/>
      <c r="AA74" s="694"/>
      <c r="AB74" s="694"/>
      <c r="AC74" s="694"/>
      <c r="AD74" s="694"/>
      <c r="AE74" s="694"/>
      <c r="AF74" s="694"/>
      <c r="AG74" s="694"/>
      <c r="AH74" s="694"/>
      <c r="AI74" s="694"/>
      <c r="AJ74" s="695"/>
    </row>
    <row r="75" spans="1:36" ht="14.45" customHeight="1" thickBot="1" x14ac:dyDescent="0.3">
      <c r="A75" s="19"/>
      <c r="B75" s="50">
        <v>6</v>
      </c>
      <c r="C75" s="706" t="str">
        <f t="shared" si="3"/>
        <v>4eme F</v>
      </c>
      <c r="D75" s="706"/>
      <c r="E75" s="707">
        <f t="shared" si="4"/>
        <v>9.9999999999999995E-8</v>
      </c>
      <c r="F75" s="708"/>
      <c r="G75" s="123"/>
      <c r="H75" s="50">
        <v>6</v>
      </c>
      <c r="I75" s="680" t="str">
        <f t="shared" si="5"/>
        <v>3eme F</v>
      </c>
      <c r="J75" s="680"/>
      <c r="K75" s="683">
        <f t="shared" si="8"/>
        <v>9.9999999999999995E-8</v>
      </c>
      <c r="L75" s="684"/>
      <c r="M75" s="78"/>
      <c r="N75" s="50">
        <v>6</v>
      </c>
      <c r="O75" s="1077" t="str">
        <f>VLOOKUP($N75,$N$87:$Q$92,2,FALSE)</f>
        <v>2eme F</v>
      </c>
      <c r="P75" s="1078"/>
      <c r="Q75" s="767">
        <f t="shared" si="6"/>
        <v>9.9999999999999995E-8</v>
      </c>
      <c r="R75" s="922"/>
      <c r="S75" s="123"/>
      <c r="T75" s="50">
        <v>6</v>
      </c>
      <c r="U75" s="680" t="str">
        <f t="shared" si="7"/>
        <v>1er F</v>
      </c>
      <c r="V75" s="680"/>
      <c r="W75" s="767">
        <f t="shared" si="10"/>
        <v>9.9999999999999995E-8</v>
      </c>
      <c r="X75" s="922"/>
      <c r="Y75" s="694"/>
      <c r="Z75" s="694"/>
      <c r="AA75" s="694"/>
      <c r="AB75" s="694"/>
      <c r="AC75" s="694"/>
      <c r="AD75" s="694"/>
      <c r="AE75" s="694"/>
      <c r="AF75" s="694"/>
      <c r="AG75" s="694"/>
      <c r="AH75" s="694"/>
      <c r="AI75" s="694"/>
      <c r="AJ75" s="695"/>
    </row>
    <row r="76" spans="1:36" ht="15" customHeight="1" thickBot="1" x14ac:dyDescent="0.3">
      <c r="A76" s="19"/>
      <c r="B76" s="1073" t="s">
        <v>34</v>
      </c>
      <c r="C76" s="1073"/>
      <c r="D76" s="1073"/>
      <c r="E76" s="1073"/>
      <c r="F76" s="1073"/>
      <c r="G76" s="1073"/>
      <c r="H76" s="1073"/>
      <c r="I76" s="1073"/>
      <c r="J76" s="1073"/>
      <c r="K76" s="1073"/>
      <c r="L76" s="1073"/>
      <c r="M76" s="1073"/>
      <c r="N76" s="1073"/>
      <c r="O76" s="1073"/>
      <c r="P76" s="1073"/>
      <c r="Q76" s="1073"/>
      <c r="R76" s="1073"/>
      <c r="S76" s="1073"/>
      <c r="T76" s="1073"/>
      <c r="U76" s="1073"/>
      <c r="V76" s="1073"/>
      <c r="W76" s="1073"/>
      <c r="X76" s="1074"/>
      <c r="Y76" s="697"/>
      <c r="Z76" s="697"/>
      <c r="AA76" s="697"/>
      <c r="AB76" s="697"/>
      <c r="AC76" s="697"/>
      <c r="AD76" s="697"/>
      <c r="AE76" s="697"/>
      <c r="AF76" s="697"/>
      <c r="AG76" s="697"/>
      <c r="AH76" s="697"/>
      <c r="AI76" s="697"/>
      <c r="AJ76" s="698"/>
    </row>
    <row r="77" spans="1:36" s="2" customFormat="1" ht="15.75" thickBot="1" x14ac:dyDescent="0.3">
      <c r="A77" s="106"/>
      <c r="B77" s="1075" t="s">
        <v>240</v>
      </c>
      <c r="C77" s="1075"/>
      <c r="D77" s="1075"/>
      <c r="E77" s="1075"/>
      <c r="F77" s="1075"/>
      <c r="G77" s="1075"/>
      <c r="H77" s="1075"/>
      <c r="I77" s="1075"/>
      <c r="J77" s="1075"/>
      <c r="K77" s="1075"/>
      <c r="L77" s="1075"/>
      <c r="M77" s="1075"/>
      <c r="N77" s="1075"/>
      <c r="O77" s="1075"/>
      <c r="P77" s="1075"/>
      <c r="Q77" s="1075"/>
      <c r="R77" s="1075"/>
      <c r="S77" s="1075"/>
      <c r="T77" s="1075"/>
      <c r="U77" s="1075"/>
      <c r="V77" s="1075"/>
      <c r="W77" s="1075"/>
      <c r="X77" s="1075"/>
      <c r="Y77" s="1075"/>
      <c r="Z77" s="1075"/>
      <c r="AA77" s="1075"/>
      <c r="AB77" s="1075"/>
      <c r="AC77" s="1075"/>
      <c r="AD77" s="1075"/>
      <c r="AE77" s="1075"/>
      <c r="AF77" s="1075"/>
      <c r="AG77" s="1075"/>
      <c r="AH77" s="1075"/>
      <c r="AI77" s="1075"/>
      <c r="AJ77" s="1076"/>
    </row>
    <row r="78" spans="1:36" s="2" customFormat="1" ht="15.75" hidden="1" thickBot="1" x14ac:dyDescent="0.3">
      <c r="A78" s="19"/>
    </row>
    <row r="79" spans="1:36" ht="16.5" hidden="1" thickBot="1" x14ac:dyDescent="0.3">
      <c r="A79" s="19"/>
      <c r="B79" s="670" t="s">
        <v>49</v>
      </c>
      <c r="C79" s="671"/>
      <c r="D79" s="671"/>
      <c r="E79" s="671"/>
      <c r="F79" s="671"/>
      <c r="G79" s="671"/>
      <c r="H79" s="671"/>
      <c r="I79" s="671"/>
      <c r="J79" s="671"/>
      <c r="K79" s="671"/>
      <c r="L79" s="671"/>
      <c r="M79" s="671"/>
      <c r="N79" s="671"/>
      <c r="O79" s="671"/>
      <c r="P79" s="671"/>
      <c r="Q79" s="671"/>
      <c r="R79" s="671"/>
      <c r="S79" s="671"/>
      <c r="T79" s="671"/>
      <c r="U79" s="671"/>
      <c r="V79" s="671"/>
      <c r="W79" s="671"/>
      <c r="X79" s="671"/>
      <c r="Y79" s="671"/>
      <c r="Z79" s="671"/>
      <c r="AA79" s="671"/>
      <c r="AB79" s="671"/>
      <c r="AC79" s="671"/>
      <c r="AD79" s="671"/>
      <c r="AE79" s="671"/>
      <c r="AF79" s="671"/>
      <c r="AG79" s="671"/>
      <c r="AH79" s="671"/>
      <c r="AI79" s="671"/>
      <c r="AJ79" s="672"/>
    </row>
    <row r="80" spans="1:36" ht="14.45" hidden="1" customHeight="1" x14ac:dyDescent="0.25">
      <c r="A80" s="19"/>
      <c r="B80" s="96"/>
      <c r="C80" s="711" t="s">
        <v>1</v>
      </c>
      <c r="D80" s="711"/>
      <c r="E80" s="711" t="s">
        <v>15</v>
      </c>
      <c r="F80" s="772"/>
      <c r="G80" s="773"/>
      <c r="H80" s="121"/>
      <c r="I80" s="711" t="s">
        <v>2</v>
      </c>
      <c r="J80" s="711"/>
      <c r="K80" s="711" t="s">
        <v>15</v>
      </c>
      <c r="L80" s="772"/>
      <c r="M80" s="75"/>
      <c r="N80" s="121"/>
      <c r="O80" s="711" t="s">
        <v>3</v>
      </c>
      <c r="P80" s="711"/>
      <c r="Q80" s="711" t="s">
        <v>15</v>
      </c>
      <c r="R80" s="772"/>
      <c r="S80" s="122"/>
      <c r="T80" s="96"/>
      <c r="U80" s="711" t="s">
        <v>4</v>
      </c>
      <c r="V80" s="711"/>
      <c r="W80" s="711" t="s">
        <v>15</v>
      </c>
      <c r="X80" s="712"/>
      <c r="Y80" s="75"/>
      <c r="Z80" s="121"/>
      <c r="AA80" s="711" t="s">
        <v>256</v>
      </c>
      <c r="AB80" s="711"/>
      <c r="AC80" s="711" t="s">
        <v>15</v>
      </c>
      <c r="AD80" s="772"/>
      <c r="AE80" s="122"/>
      <c r="AF80" s="96"/>
      <c r="AG80" s="711" t="s">
        <v>257</v>
      </c>
      <c r="AH80" s="711"/>
      <c r="AI80" s="711" t="s">
        <v>15</v>
      </c>
      <c r="AJ80" s="712"/>
    </row>
    <row r="81" spans="1:36" ht="14.45" hidden="1" customHeight="1" x14ac:dyDescent="0.25">
      <c r="A81" s="19"/>
      <c r="B81" s="86">
        <f>RANK(E81,$E$81:$E$84)</f>
        <v>1</v>
      </c>
      <c r="C81" s="69" t="str">
        <f>C8</f>
        <v>Equipe 1</v>
      </c>
      <c r="D81" s="69">
        <f>E14-F14+E18-F18+E22-F22</f>
        <v>0</v>
      </c>
      <c r="E81" s="681">
        <f>E8+4/10000000</f>
        <v>3.9999999999999998E-7</v>
      </c>
      <c r="F81" s="767"/>
      <c r="G81" s="774"/>
      <c r="H81" s="91">
        <f>RANK(K81,$K$81:$K$84)</f>
        <v>1</v>
      </c>
      <c r="I81" s="69" t="str">
        <f>I8</f>
        <v>Equipe 5</v>
      </c>
      <c r="J81" s="69">
        <f>K14-L14+K18-L18+K22-L22</f>
        <v>0</v>
      </c>
      <c r="K81" s="681">
        <f>K8+4/10000000</f>
        <v>3.9999999999999998E-7</v>
      </c>
      <c r="L81" s="767"/>
      <c r="M81" s="76"/>
      <c r="N81" s="91">
        <f>RANK(Q81,$Q$81:$Q$84)</f>
        <v>1</v>
      </c>
      <c r="O81" s="69" t="str">
        <f>O8</f>
        <v>Equipe 9</v>
      </c>
      <c r="P81" s="69">
        <f>Q14-R14+Q18-R18+Q22-R22</f>
        <v>0</v>
      </c>
      <c r="Q81" s="681">
        <f>Q8+4/10000000</f>
        <v>3.9999999999999998E-7</v>
      </c>
      <c r="R81" s="767"/>
      <c r="S81" s="105"/>
      <c r="T81" s="86">
        <f>RANK(W81,$W$81:$W$84)</f>
        <v>1</v>
      </c>
      <c r="U81" s="69" t="str">
        <f>U8</f>
        <v>Equipe 13</v>
      </c>
      <c r="V81" s="69">
        <f>W14-X14+W18-X18+W22-X22</f>
        <v>0</v>
      </c>
      <c r="W81" s="681">
        <f>W8+4/10000000</f>
        <v>3.9999999999999998E-7</v>
      </c>
      <c r="X81" s="682"/>
      <c r="Y81" s="76"/>
      <c r="Z81" s="91">
        <f>RANK(AC81,$AC$81:$AC$84)</f>
        <v>1</v>
      </c>
      <c r="AA81" s="69" t="str">
        <f>AA8</f>
        <v>Equipe 17</v>
      </c>
      <c r="AB81" s="69">
        <f>AC14-AD14+AC18-AD18+AC22-AD22</f>
        <v>0</v>
      </c>
      <c r="AC81" s="681">
        <f>AC8+4/10000000</f>
        <v>3.9999999999999998E-7</v>
      </c>
      <c r="AD81" s="767"/>
      <c r="AE81" s="105"/>
      <c r="AF81" s="86">
        <f>RANK(AI81,$AI$81:$AI$84)</f>
        <v>1</v>
      </c>
      <c r="AG81" s="69" t="str">
        <f>AG8</f>
        <v>Equipe 21</v>
      </c>
      <c r="AH81" s="69">
        <f>AI14-AJ14+AI18-AJ18+AI22-AJ22</f>
        <v>0</v>
      </c>
      <c r="AI81" s="681">
        <f>AI8+4/10000000</f>
        <v>3.9999999999999998E-7</v>
      </c>
      <c r="AJ81" s="682"/>
    </row>
    <row r="82" spans="1:36" ht="14.45" hidden="1" customHeight="1" x14ac:dyDescent="0.25">
      <c r="A82" s="19"/>
      <c r="B82" s="86">
        <f t="shared" ref="B82:B84" si="11">RANK(E82,$E$81:$E$84)</f>
        <v>2</v>
      </c>
      <c r="C82" s="69" t="str">
        <f>C9</f>
        <v>Equipe 2</v>
      </c>
      <c r="D82" s="69">
        <f>F14-E14+E19-F19+E23-F23</f>
        <v>0</v>
      </c>
      <c r="E82" s="681">
        <f>E9+3/10000000</f>
        <v>2.9999999999999999E-7</v>
      </c>
      <c r="F82" s="767"/>
      <c r="G82" s="774"/>
      <c r="H82" s="91">
        <f t="shared" ref="H82:H84" si="12">RANK(K82,$K$81:$K$84)</f>
        <v>2</v>
      </c>
      <c r="I82" s="69" t="str">
        <f>I9</f>
        <v>Equipe 6</v>
      </c>
      <c r="J82" s="69">
        <f>L14-K14+K19-L19+K23-L23</f>
        <v>0</v>
      </c>
      <c r="K82" s="681">
        <f>K9+3/10000000</f>
        <v>2.9999999999999999E-7</v>
      </c>
      <c r="L82" s="767"/>
      <c r="M82" s="76"/>
      <c r="N82" s="91">
        <f t="shared" ref="N82:N84" si="13">RANK(Q82,$Q$81:$Q$84)</f>
        <v>2</v>
      </c>
      <c r="O82" s="69" t="str">
        <f>O9</f>
        <v>Equipe 10</v>
      </c>
      <c r="P82" s="69">
        <f>R14-Q14+Q19-R19+Q23-R23</f>
        <v>0</v>
      </c>
      <c r="Q82" s="681">
        <f>Q9+3/10000000</f>
        <v>2.9999999999999999E-7</v>
      </c>
      <c r="R82" s="767"/>
      <c r="S82" s="105"/>
      <c r="T82" s="86">
        <f t="shared" ref="T82:T84" si="14">RANK(W82,$W$81:$W$84)</f>
        <v>2</v>
      </c>
      <c r="U82" s="69" t="str">
        <f>U9</f>
        <v>Equipe 14</v>
      </c>
      <c r="V82" s="69">
        <f>X14-W14+W19-X19+W23-X23</f>
        <v>0</v>
      </c>
      <c r="W82" s="681">
        <f>W9+3/10000000</f>
        <v>2.9999999999999999E-7</v>
      </c>
      <c r="X82" s="682"/>
      <c r="Y82" s="76"/>
      <c r="Z82" s="91">
        <f>RANK(AC82,$AC$81:$AC$84)</f>
        <v>2</v>
      </c>
      <c r="AA82" s="69" t="str">
        <f>AA9</f>
        <v>Equipe 18</v>
      </c>
      <c r="AB82" s="69">
        <f>AD14-AC14+AC19-AD19+AC23-AD23</f>
        <v>0</v>
      </c>
      <c r="AC82" s="681">
        <f>AC9+3/10000000</f>
        <v>2.9999999999999999E-7</v>
      </c>
      <c r="AD82" s="767"/>
      <c r="AE82" s="105"/>
      <c r="AF82" s="86">
        <f>RANK(AI82,$AI$81:$AI$84)</f>
        <v>2</v>
      </c>
      <c r="AG82" s="69" t="str">
        <f>AG9</f>
        <v>Equipe 22</v>
      </c>
      <c r="AH82" s="69">
        <f>AJ14-AI14+AI19-AJ19+AI23-AJ23</f>
        <v>0</v>
      </c>
      <c r="AI82" s="681">
        <f>AI9+3/10000000</f>
        <v>2.9999999999999999E-7</v>
      </c>
      <c r="AJ82" s="682"/>
    </row>
    <row r="83" spans="1:36" ht="14.45" hidden="1" customHeight="1" x14ac:dyDescent="0.25">
      <c r="A83" s="19"/>
      <c r="B83" s="86">
        <f t="shared" si="11"/>
        <v>3</v>
      </c>
      <c r="C83" s="69" t="str">
        <f>C10</f>
        <v>Equipe 3</v>
      </c>
      <c r="D83" s="69">
        <f>E15-F15+F18-E18+F23-E23</f>
        <v>0</v>
      </c>
      <c r="E83" s="681">
        <f>E10+2/10000000</f>
        <v>1.9999999999999999E-7</v>
      </c>
      <c r="F83" s="767"/>
      <c r="G83" s="774"/>
      <c r="H83" s="91">
        <f t="shared" si="12"/>
        <v>3</v>
      </c>
      <c r="I83" s="69" t="str">
        <f>I10</f>
        <v>Equipe 7</v>
      </c>
      <c r="J83" s="69">
        <f>K15-L15+L18-K18+L23-K23</f>
        <v>0</v>
      </c>
      <c r="K83" s="681">
        <f>K10+2/10000000</f>
        <v>1.9999999999999999E-7</v>
      </c>
      <c r="L83" s="767"/>
      <c r="M83" s="76"/>
      <c r="N83" s="91">
        <f t="shared" si="13"/>
        <v>3</v>
      </c>
      <c r="O83" s="69" t="str">
        <f>O10</f>
        <v>Equipe 11</v>
      </c>
      <c r="P83" s="69">
        <f>Q15-R15+R18-Q18+R23-Q23</f>
        <v>0</v>
      </c>
      <c r="Q83" s="681">
        <f>Q10+2/10000000</f>
        <v>1.9999999999999999E-7</v>
      </c>
      <c r="R83" s="767"/>
      <c r="S83" s="105"/>
      <c r="T83" s="86">
        <f t="shared" si="14"/>
        <v>3</v>
      </c>
      <c r="U83" s="69" t="str">
        <f>U10</f>
        <v>Equipe 15</v>
      </c>
      <c r="V83" s="69">
        <f>W15-X15+X18-W18+X23-W23</f>
        <v>0</v>
      </c>
      <c r="W83" s="681">
        <f>W10+2/10000000</f>
        <v>1.9999999999999999E-7</v>
      </c>
      <c r="X83" s="682"/>
      <c r="Y83" s="76"/>
      <c r="Z83" s="91">
        <f>RANK(AC83,$AC$81:$AC$84)</f>
        <v>3</v>
      </c>
      <c r="AA83" s="69" t="str">
        <f>AA10</f>
        <v>Equipe 19</v>
      </c>
      <c r="AB83" s="69">
        <f>AC15-AD15+AD18-AC18+AD23-AC23</f>
        <v>0</v>
      </c>
      <c r="AC83" s="681">
        <f>AC10+2/10000000</f>
        <v>1.9999999999999999E-7</v>
      </c>
      <c r="AD83" s="767"/>
      <c r="AE83" s="105"/>
      <c r="AF83" s="86">
        <f>RANK(AI83,$AI$81:$AI$84)</f>
        <v>3</v>
      </c>
      <c r="AG83" s="69" t="str">
        <f>AG10</f>
        <v>Equipe 23</v>
      </c>
      <c r="AH83" s="69">
        <f>AI15-AJ15+AJ18-AI18+AJ23-AI23</f>
        <v>0</v>
      </c>
      <c r="AI83" s="681">
        <f>AI10+2/10000000</f>
        <v>1.9999999999999999E-7</v>
      </c>
      <c r="AJ83" s="682"/>
    </row>
    <row r="84" spans="1:36" ht="14.45" hidden="1" customHeight="1" thickBot="1" x14ac:dyDescent="0.3">
      <c r="A84" s="19"/>
      <c r="B84" s="87">
        <f t="shared" si="11"/>
        <v>4</v>
      </c>
      <c r="C84" s="88" t="str">
        <f>C11</f>
        <v>Equipe 4</v>
      </c>
      <c r="D84" s="88">
        <f>F15-E15+F19-E19+F22-E22</f>
        <v>0</v>
      </c>
      <c r="E84" s="709">
        <f>E11+1/10000000</f>
        <v>9.9999999999999995E-8</v>
      </c>
      <c r="F84" s="761"/>
      <c r="G84" s="775"/>
      <c r="H84" s="92">
        <f t="shared" si="12"/>
        <v>4</v>
      </c>
      <c r="I84" s="88" t="str">
        <f>I11</f>
        <v>Equipe 8</v>
      </c>
      <c r="J84" s="88">
        <f>L15-K15+L19-K19+L22-K22</f>
        <v>0</v>
      </c>
      <c r="K84" s="709">
        <f>K11+1/10000000</f>
        <v>9.9999999999999995E-8</v>
      </c>
      <c r="L84" s="761"/>
      <c r="M84" s="78"/>
      <c r="N84" s="92">
        <f t="shared" si="13"/>
        <v>4</v>
      </c>
      <c r="O84" s="88" t="str">
        <f>O11</f>
        <v>Equipe 12</v>
      </c>
      <c r="P84" s="88">
        <f>R15-Q15+R19-Q19+R22-Q22</f>
        <v>0</v>
      </c>
      <c r="Q84" s="709">
        <f>Q11+1/10000000</f>
        <v>9.9999999999999995E-8</v>
      </c>
      <c r="R84" s="761"/>
      <c r="S84" s="123"/>
      <c r="T84" s="87">
        <f t="shared" si="14"/>
        <v>4</v>
      </c>
      <c r="U84" s="88" t="str">
        <f>U11</f>
        <v>Equipe 16</v>
      </c>
      <c r="V84" s="88">
        <f>X15-W15+X19-W19+X22-W22</f>
        <v>0</v>
      </c>
      <c r="W84" s="709">
        <f>W11+1/10000000</f>
        <v>9.9999999999999995E-8</v>
      </c>
      <c r="X84" s="710"/>
      <c r="Y84" s="78"/>
      <c r="Z84" s="92">
        <f>RANK(AC84,$AC$81:$AC$84)</f>
        <v>4</v>
      </c>
      <c r="AA84" s="88" t="str">
        <f>AA11</f>
        <v>Equipe 20</v>
      </c>
      <c r="AB84" s="88">
        <f>AD15-AC15+AD19-AC19+AD22-AC22</f>
        <v>0</v>
      </c>
      <c r="AC84" s="709">
        <f>AC11+1/10000000</f>
        <v>9.9999999999999995E-8</v>
      </c>
      <c r="AD84" s="761"/>
      <c r="AE84" s="123"/>
      <c r="AF84" s="87">
        <f>RANK(AI84,$AI$81:$AI$84)</f>
        <v>4</v>
      </c>
      <c r="AG84" s="88" t="str">
        <f>AG11</f>
        <v>Equipe 24</v>
      </c>
      <c r="AH84" s="88">
        <f>AJ15-AI15+AJ19-AI19+AJ22-AI22</f>
        <v>0</v>
      </c>
      <c r="AI84" s="709">
        <f>AI11+1/10000000</f>
        <v>9.9999999999999995E-8</v>
      </c>
      <c r="AJ84" s="710"/>
    </row>
    <row r="85" spans="1:36" ht="16.5" hidden="1" thickBot="1" x14ac:dyDescent="0.3">
      <c r="A85" s="19"/>
      <c r="B85" s="670" t="s">
        <v>47</v>
      </c>
      <c r="C85" s="671"/>
      <c r="D85" s="671"/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671"/>
      <c r="S85" s="671"/>
      <c r="T85" s="671"/>
      <c r="U85" s="671"/>
      <c r="V85" s="671"/>
      <c r="W85" s="671"/>
      <c r="X85" s="671"/>
      <c r="Y85" s="892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2"/>
    </row>
    <row r="86" spans="1:36" ht="14.45" hidden="1" customHeight="1" x14ac:dyDescent="0.25">
      <c r="A86" s="19"/>
      <c r="B86" s="96"/>
      <c r="C86" s="711" t="s">
        <v>62</v>
      </c>
      <c r="D86" s="711"/>
      <c r="E86" s="711" t="s">
        <v>15</v>
      </c>
      <c r="F86" s="712"/>
      <c r="G86" s="773"/>
      <c r="H86" s="96"/>
      <c r="I86" s="711" t="s">
        <v>63</v>
      </c>
      <c r="J86" s="711"/>
      <c r="K86" s="711" t="s">
        <v>15</v>
      </c>
      <c r="L86" s="712"/>
      <c r="M86" s="75"/>
      <c r="N86" s="96"/>
      <c r="O86" s="711" t="s">
        <v>64</v>
      </c>
      <c r="P86" s="711"/>
      <c r="Q86" s="711" t="s">
        <v>15</v>
      </c>
      <c r="R86" s="712"/>
      <c r="S86" s="122"/>
      <c r="T86" s="96"/>
      <c r="U86" s="711" t="s">
        <v>65</v>
      </c>
      <c r="V86" s="711"/>
      <c r="W86" s="711" t="s">
        <v>15</v>
      </c>
      <c r="X86" s="712"/>
      <c r="Y86" s="231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4.45" hidden="1" customHeight="1" x14ac:dyDescent="0.25">
      <c r="A87" s="19"/>
      <c r="B87" s="86">
        <f>RANK(E87,$E$87:$E$92)</f>
        <v>1</v>
      </c>
      <c r="C87" s="69" t="str">
        <f>C35</f>
        <v>4eme A</v>
      </c>
      <c r="D87" s="69">
        <f>E44-F44+F50-E50+E55-F55+F60-E60+E64-F64</f>
        <v>0</v>
      </c>
      <c r="E87" s="681">
        <f>E35+6/10000000</f>
        <v>5.9999999999999997E-7</v>
      </c>
      <c r="F87" s="682"/>
      <c r="G87" s="774"/>
      <c r="H87" s="86">
        <f t="shared" ref="H87:H92" si="15">RANK(K87,$K$87:$K$92)</f>
        <v>1</v>
      </c>
      <c r="I87" s="69" t="str">
        <f>I35</f>
        <v>3eme A</v>
      </c>
      <c r="J87" s="69">
        <f>K44-L44+L50-K50+K55-L55+L60-K60+K64-L64</f>
        <v>0</v>
      </c>
      <c r="K87" s="681">
        <f>K35+6/10000000</f>
        <v>5.9999999999999997E-7</v>
      </c>
      <c r="L87" s="682"/>
      <c r="M87" s="76"/>
      <c r="N87" s="86">
        <f>RANK(Q87,$Q$87:$Q$92)</f>
        <v>1</v>
      </c>
      <c r="O87" s="69" t="str">
        <f>O35</f>
        <v>2eme A</v>
      </c>
      <c r="P87" s="69">
        <f>Q44-R44+R50-Q50+Q55-R55+R60-Q60+Q64-R64</f>
        <v>0</v>
      </c>
      <c r="Q87" s="681">
        <f>Q35+6/10000000</f>
        <v>5.9999999999999997E-7</v>
      </c>
      <c r="R87" s="682"/>
      <c r="S87" s="105"/>
      <c r="T87" s="86">
        <f>RANK(W87,$W$87:$W$92)</f>
        <v>1</v>
      </c>
      <c r="U87" s="69" t="str">
        <f>U35</f>
        <v>1er A</v>
      </c>
      <c r="V87" s="69">
        <f>W44-X44+X50-W50+W55-X55+X60-W60+W64-X64</f>
        <v>0</v>
      </c>
      <c r="W87" s="681">
        <f>W35+6/10000000</f>
        <v>5.9999999999999997E-7</v>
      </c>
      <c r="X87" s="682"/>
      <c r="Y87" s="231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4.45" hidden="1" customHeight="1" x14ac:dyDescent="0.25">
      <c r="A88" s="19"/>
      <c r="B88" s="86">
        <f>RANK(E88,$E$87:$E$92)</f>
        <v>2</v>
      </c>
      <c r="C88" s="69" t="str">
        <f>C36</f>
        <v>4eme B</v>
      </c>
      <c r="D88" s="69">
        <f>F44-E44+F49-E49+E56-F56+F61-E61+E65-F65</f>
        <v>0</v>
      </c>
      <c r="E88" s="681">
        <f>E36+5/10000000</f>
        <v>4.9999999999999998E-7</v>
      </c>
      <c r="F88" s="682"/>
      <c r="G88" s="774"/>
      <c r="H88" s="86">
        <f t="shared" si="15"/>
        <v>2</v>
      </c>
      <c r="I88" s="69" t="str">
        <f>I36</f>
        <v>3eme B</v>
      </c>
      <c r="J88" s="69">
        <f>L44-K44+L49-K49+K56-L56+L61-K61+K65-L65</f>
        <v>0</v>
      </c>
      <c r="K88" s="681">
        <f>K36+5/10000000</f>
        <v>4.9999999999999998E-7</v>
      </c>
      <c r="L88" s="682"/>
      <c r="M88" s="76"/>
      <c r="N88" s="86">
        <f t="shared" ref="N88:N92" si="16">RANK(Q88,$Q$87:$Q$92)</f>
        <v>2</v>
      </c>
      <c r="O88" s="69" t="str">
        <f>O36</f>
        <v>2eme B</v>
      </c>
      <c r="P88" s="69">
        <f>R44-Q44+R49-Q49+Q56-R56+R61-Q61+Q65-R65</f>
        <v>0</v>
      </c>
      <c r="Q88" s="681">
        <f>Q36+5/10000000</f>
        <v>4.9999999999999998E-7</v>
      </c>
      <c r="R88" s="682"/>
      <c r="S88" s="105"/>
      <c r="T88" s="86">
        <f t="shared" ref="T88:T92" si="17">RANK(W88,$W$87:$W$92)</f>
        <v>2</v>
      </c>
      <c r="U88" s="69" t="str">
        <f>U36</f>
        <v>1er B</v>
      </c>
      <c r="V88" s="69">
        <f>X44-W44+X49-W49+W56-X56+X61-W61+W65-X65</f>
        <v>0</v>
      </c>
      <c r="W88" s="681">
        <f>W36+5/10000000</f>
        <v>4.9999999999999998E-7</v>
      </c>
      <c r="X88" s="682"/>
      <c r="Y88" s="231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4.45" hidden="1" customHeight="1" x14ac:dyDescent="0.25">
      <c r="A89" s="19"/>
      <c r="B89" s="86">
        <f>RANK(E89,$E$87:$E$92)</f>
        <v>3</v>
      </c>
      <c r="C89" s="69" t="str">
        <f>C37</f>
        <v>4eme C</v>
      </c>
      <c r="D89" s="69">
        <f>E45-F45+E51-F51+F56-E56+E61-F61+F66-E66</f>
        <v>0</v>
      </c>
      <c r="E89" s="681">
        <f>E37+4/10000000</f>
        <v>3.9999999999999998E-7</v>
      </c>
      <c r="F89" s="682"/>
      <c r="G89" s="774"/>
      <c r="H89" s="86">
        <f t="shared" si="15"/>
        <v>3</v>
      </c>
      <c r="I89" s="69" t="str">
        <f>I37</f>
        <v>3eme C</v>
      </c>
      <c r="J89" s="69">
        <f>K45-L45+K51-L51+L56-K56+K61-L61+L66-K66</f>
        <v>0</v>
      </c>
      <c r="K89" s="681">
        <f>K37+4/10000000</f>
        <v>3.9999999999999998E-7</v>
      </c>
      <c r="L89" s="682"/>
      <c r="M89" s="76"/>
      <c r="N89" s="86">
        <f t="shared" si="16"/>
        <v>3</v>
      </c>
      <c r="O89" s="69" t="str">
        <f>O37</f>
        <v>2eme C</v>
      </c>
      <c r="P89" s="69">
        <f>Q45-R45+Q51-R51+R56-Q56+Q61-R61+R66-Q66</f>
        <v>0</v>
      </c>
      <c r="Q89" s="681">
        <f>Q37+4/10000000</f>
        <v>3.9999999999999998E-7</v>
      </c>
      <c r="R89" s="682"/>
      <c r="S89" s="105"/>
      <c r="T89" s="86">
        <f t="shared" si="17"/>
        <v>3</v>
      </c>
      <c r="U89" s="69" t="str">
        <f>U37</f>
        <v>1er C</v>
      </c>
      <c r="V89" s="69">
        <f>W45-X45+W51-X51+X56-W56+W61-X61+X66-W66</f>
        <v>0</v>
      </c>
      <c r="W89" s="681">
        <f>W37+4/10000000</f>
        <v>3.9999999999999998E-7</v>
      </c>
      <c r="X89" s="682"/>
      <c r="Y89" s="231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4.45" hidden="1" customHeight="1" x14ac:dyDescent="0.25">
      <c r="A90" s="19"/>
      <c r="B90" s="86">
        <f t="shared" ref="B90:B92" si="18">RANK(E90,$E$87:$E$92)</f>
        <v>4</v>
      </c>
      <c r="C90" s="69" t="str">
        <f t="shared" ref="C90:C92" si="19">C38</f>
        <v>4eme D</v>
      </c>
      <c r="D90" s="69">
        <f>F45-E45+E49-F49+E54-F54+F59-E59+F64-E64</f>
        <v>0</v>
      </c>
      <c r="E90" s="681">
        <f>E38+3/10000000</f>
        <v>2.9999999999999999E-7</v>
      </c>
      <c r="F90" s="682"/>
      <c r="G90" s="774"/>
      <c r="H90" s="86">
        <f t="shared" si="15"/>
        <v>4</v>
      </c>
      <c r="I90" s="69" t="str">
        <f>I38</f>
        <v>3eme D</v>
      </c>
      <c r="J90" s="69">
        <f>L45-K45+K49-L49+K54-L54+L59-K59+L64-K64</f>
        <v>0</v>
      </c>
      <c r="K90" s="681">
        <f>K38+3/10000000</f>
        <v>2.9999999999999999E-7</v>
      </c>
      <c r="L90" s="682"/>
      <c r="M90" s="76"/>
      <c r="N90" s="86">
        <f t="shared" si="16"/>
        <v>4</v>
      </c>
      <c r="O90" s="69" t="str">
        <f>O38</f>
        <v>2eme D</v>
      </c>
      <c r="P90" s="69">
        <f>R45-Q45+Q49-R49+Q54-R54+R59-Q59+R64-Q64</f>
        <v>0</v>
      </c>
      <c r="Q90" s="681">
        <f>Q38+3/10000000</f>
        <v>2.9999999999999999E-7</v>
      </c>
      <c r="R90" s="682"/>
      <c r="S90" s="105"/>
      <c r="T90" s="86">
        <f t="shared" si="17"/>
        <v>4</v>
      </c>
      <c r="U90" s="69" t="str">
        <f>U38</f>
        <v>1er D</v>
      </c>
      <c r="V90" s="69">
        <f>X45-W45+W49-X49+W54-X54+X59-W59+X64-W64</f>
        <v>0</v>
      </c>
      <c r="W90" s="681">
        <f>W38+3/10000000</f>
        <v>2.9999999999999999E-7</v>
      </c>
      <c r="X90" s="682"/>
      <c r="Y90" s="231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4.45" hidden="1" customHeight="1" x14ac:dyDescent="0.25">
      <c r="A91" s="19"/>
      <c r="B91" s="86">
        <f t="shared" si="18"/>
        <v>5</v>
      </c>
      <c r="C91" s="69" t="str">
        <f t="shared" si="19"/>
        <v>4eme E</v>
      </c>
      <c r="D91" s="69">
        <f>E46-F46+F51-E51+F55-E55+E59-F59+F65-E65</f>
        <v>0</v>
      </c>
      <c r="E91" s="681">
        <f>E39+2/10000000</f>
        <v>1.9999999999999999E-7</v>
      </c>
      <c r="F91" s="682"/>
      <c r="G91" s="774"/>
      <c r="H91" s="86">
        <f t="shared" si="15"/>
        <v>5</v>
      </c>
      <c r="I91" s="69" t="str">
        <f>I39</f>
        <v>3eme E</v>
      </c>
      <c r="J91" s="69">
        <f>K46-L46+L51-K51+L55-K55+K59-L59+L65-K65</f>
        <v>0</v>
      </c>
      <c r="K91" s="681">
        <f>K39+2/10000000</f>
        <v>1.9999999999999999E-7</v>
      </c>
      <c r="L91" s="682"/>
      <c r="M91" s="76"/>
      <c r="N91" s="86">
        <f t="shared" si="16"/>
        <v>5</v>
      </c>
      <c r="O91" s="69" t="str">
        <f>O39</f>
        <v>2eme E</v>
      </c>
      <c r="P91" s="69">
        <f>Q46-R46+R51-Q51+R55-Q55+Q59-R59+R65-Q65</f>
        <v>0</v>
      </c>
      <c r="Q91" s="681">
        <f>Q39+2/10000000</f>
        <v>1.9999999999999999E-7</v>
      </c>
      <c r="R91" s="682"/>
      <c r="S91" s="105"/>
      <c r="T91" s="86">
        <f t="shared" si="17"/>
        <v>5</v>
      </c>
      <c r="U91" s="69" t="str">
        <f>U39</f>
        <v>1er E</v>
      </c>
      <c r="V91" s="69">
        <f>W46-X46+X51-W51+X55-W55+W59-X59+X65-W65</f>
        <v>0</v>
      </c>
      <c r="W91" s="681">
        <f>W39+2/10000000</f>
        <v>1.9999999999999999E-7</v>
      </c>
      <c r="X91" s="682"/>
      <c r="Y91" s="231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4.45" hidden="1" customHeight="1" thickBot="1" x14ac:dyDescent="0.3">
      <c r="A92" s="19"/>
      <c r="B92" s="87">
        <f t="shared" si="18"/>
        <v>6</v>
      </c>
      <c r="C92" s="88" t="str">
        <f t="shared" si="19"/>
        <v>4eme F</v>
      </c>
      <c r="D92" s="88">
        <f>F46-E46+E50-F50-F54-E54+E61-F61+E66-F66</f>
        <v>0</v>
      </c>
      <c r="E92" s="709">
        <f>E40+1/10000000</f>
        <v>9.9999999999999995E-8</v>
      </c>
      <c r="F92" s="710"/>
      <c r="G92" s="775"/>
      <c r="H92" s="87">
        <f t="shared" si="15"/>
        <v>6</v>
      </c>
      <c r="I92" s="88" t="str">
        <f t="shared" ref="I92" si="20">I40</f>
        <v>3eme F</v>
      </c>
      <c r="J92" s="88">
        <f>L46-K46+K50-L50-L54-K54+K61-L61+K66-L66</f>
        <v>0</v>
      </c>
      <c r="K92" s="709">
        <f>K40+1/10000000</f>
        <v>9.9999999999999995E-8</v>
      </c>
      <c r="L92" s="710"/>
      <c r="M92" s="78"/>
      <c r="N92" s="87">
        <f t="shared" si="16"/>
        <v>6</v>
      </c>
      <c r="O92" s="88" t="str">
        <f t="shared" ref="O92" si="21">O40</f>
        <v>2eme F</v>
      </c>
      <c r="P92" s="88">
        <f>R46-Q46+Q50-R50-R54-Q54+Q61-R61+Q66-R66</f>
        <v>0</v>
      </c>
      <c r="Q92" s="709">
        <f>Q40+1/10000000</f>
        <v>9.9999999999999995E-8</v>
      </c>
      <c r="R92" s="710"/>
      <c r="S92" s="123"/>
      <c r="T92" s="87">
        <f t="shared" si="17"/>
        <v>6</v>
      </c>
      <c r="U92" s="88" t="str">
        <f t="shared" ref="U92" si="22">U40</f>
        <v>1er F</v>
      </c>
      <c r="V92" s="88">
        <f>X46-W46+W50-X50-X54-W54+W61-X61+W66-X66</f>
        <v>0</v>
      </c>
      <c r="W92" s="709">
        <f>W40+1/10000000</f>
        <v>9.9999999999999995E-8</v>
      </c>
      <c r="X92" s="710"/>
      <c r="Y92" s="231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idden="1" x14ac:dyDescent="0.25">
      <c r="B93" s="700"/>
      <c r="C93" s="700"/>
      <c r="D93" s="700"/>
      <c r="E93" s="700"/>
      <c r="F93" s="700"/>
      <c r="G93" s="700"/>
      <c r="H93" s="700"/>
      <c r="I93" s="700"/>
      <c r="J93" s="700"/>
      <c r="K93" s="700"/>
      <c r="L93" s="700"/>
      <c r="M93" s="700"/>
      <c r="N93" s="700"/>
      <c r="O93" s="700"/>
      <c r="P93" s="700"/>
      <c r="Q93" s="700"/>
      <c r="R93" s="700"/>
    </row>
    <row r="94" spans="1:36" hidden="1" x14ac:dyDescent="0.25">
      <c r="B94" s="1">
        <f>IF(E14="",0,(IF(E14&gt;F14,3,IF(E14=F14,1,0))))</f>
        <v>0</v>
      </c>
      <c r="C94" s="1">
        <f>IF(F14="",0,(IF(F14&gt;E14,3,IF(F14=E14,1,0))))</f>
        <v>0</v>
      </c>
      <c r="H94" s="1">
        <f>IF(K14="",0,(IF(K14&gt;L14,3,IF(K14=L14,1,0))))</f>
        <v>0</v>
      </c>
      <c r="I94" s="1">
        <f>IF(L14="",0,(IF(L14&gt;K14,3,IF(L14=K14,1,0))))</f>
        <v>0</v>
      </c>
      <c r="N94" s="1">
        <f>IF(Q14="",0,(IF(Q14&gt;R14,3,IF(Q14=R14,1,0))))</f>
        <v>0</v>
      </c>
      <c r="O94" s="1">
        <f>IF(R14="",0,(IF(R14&gt;Q14,3,IF(R14=Q14,1,0))))</f>
        <v>0</v>
      </c>
      <c r="T94" s="1">
        <f>IF(W14="",0,(IF(W14&gt;X14,3,IF(W14=X14,1,0))))</f>
        <v>0</v>
      </c>
      <c r="U94" s="1">
        <f>IF(X14="",0,(IF(X14&gt;W14,3,IF(X14=W14,1,0))))</f>
        <v>0</v>
      </c>
      <c r="Z94" s="1">
        <f>IF(AC14="",0,(IF(AC14&gt;AD14,3,IF(AC14=AD14,1,0))))</f>
        <v>0</v>
      </c>
      <c r="AA94" s="1">
        <f>IF(AD14="",0,(IF(AD14&gt;AC14,3,IF(AD14=AC14,1,0))))</f>
        <v>0</v>
      </c>
      <c r="AF94" s="1">
        <f>IF(AI14="",0,(IF(AI14&gt;AJ14,3,IF(AI14=AJ14,1,0))))</f>
        <v>0</v>
      </c>
      <c r="AG94" s="1">
        <f>IF(AJ14="",0,(IF(AJ14&gt;AI14,3,IF(AJ14=AI14,1,0))))</f>
        <v>0</v>
      </c>
    </row>
    <row r="95" spans="1:36" hidden="1" x14ac:dyDescent="0.25">
      <c r="B95" s="1">
        <f>IF(E15="",0,(IF(E15&gt;F15,3,IF(E15=F15,1,0))))</f>
        <v>0</v>
      </c>
      <c r="C95" s="1">
        <f>IF(F15="",0,(IF(F15&gt;E15,3,IF(F15=E15,1,0))))</f>
        <v>0</v>
      </c>
      <c r="H95" s="1">
        <f>IF(K15="",0,(IF(K15&gt;L15,3,IF(K15=L15,1,0))))</f>
        <v>0</v>
      </c>
      <c r="I95" s="1">
        <f>IF(L15="",0,(IF(L15&gt;K15,3,IF(L15=K15,1,0))))</f>
        <v>0</v>
      </c>
      <c r="N95" s="1">
        <f>IF(Q15="",0,(IF(Q15&gt;R15,3,IF(Q15=R15,1,0))))</f>
        <v>0</v>
      </c>
      <c r="O95" s="1">
        <f>IF(R15="",0,(IF(R15&gt;Q15,3,IF(R15=Q15,1,0))))</f>
        <v>0</v>
      </c>
      <c r="T95" s="1">
        <f>IF(W15="",0,(IF(W15&gt;X15,3,IF(W15=X15,1,0))))</f>
        <v>0</v>
      </c>
      <c r="U95" s="1">
        <f>IF(X15="",0,(IF(X15&gt;W15,3,IF(X15=W15,1,0))))</f>
        <v>0</v>
      </c>
      <c r="Z95" s="1">
        <f>IF(AC15="",0,(IF(AC15&gt;AD15,3,IF(AC15=AD15,1,0))))</f>
        <v>0</v>
      </c>
      <c r="AA95" s="1">
        <f>IF(AD15="",0,(IF(AD15&gt;AC15,3,IF(AD15=AC15,1,0))))</f>
        <v>0</v>
      </c>
      <c r="AF95" s="1">
        <f>IF(AI15="",0,(IF(AI15&gt;AJ15,3,IF(AI15=AJ15,1,0))))</f>
        <v>0</v>
      </c>
      <c r="AG95" s="1">
        <f>IF(AJ15="",0,(IF(AJ15&gt;AI15,3,IF(AJ15=AI15,1,0))))</f>
        <v>0</v>
      </c>
    </row>
    <row r="96" spans="1:36" hidden="1" x14ac:dyDescent="0.25"/>
    <row r="97" spans="2:33" hidden="1" x14ac:dyDescent="0.25"/>
    <row r="98" spans="2:33" hidden="1" x14ac:dyDescent="0.25">
      <c r="B98" s="1">
        <f>IF(E18="",0,(IF(E18&gt;F18,3,IF(E18=F18,1,0))))</f>
        <v>0</v>
      </c>
      <c r="C98" s="1">
        <f>IF(F18="",0,(IF(F18&gt;E18,3,IF(F18=E18,1,0))))</f>
        <v>0</v>
      </c>
      <c r="H98" s="1">
        <f>IF(K18="",0,(IF(K18&gt;L18,3,IF(K18=L18,1,0))))</f>
        <v>0</v>
      </c>
      <c r="I98" s="1">
        <f>IF(L18="",0,(IF(L18&gt;K18,3,IF(L18=K18,1,0))))</f>
        <v>0</v>
      </c>
      <c r="N98" s="1">
        <f>IF(Q18="",0,(IF(Q18&gt;R18,3,IF(Q18=R18,1,0))))</f>
        <v>0</v>
      </c>
      <c r="O98" s="1">
        <f>IF(R18="",0,(IF(R18&gt;Q18,3,IF(R18=Q18,1,0))))</f>
        <v>0</v>
      </c>
      <c r="T98" s="1">
        <f>IF(W18="",0,(IF(W18&gt;X18,3,IF(W18=X18,1,0))))</f>
        <v>0</v>
      </c>
      <c r="U98" s="1">
        <f>IF(X18="",0,(IF(X18&gt;W18,3,IF(X18=W18,1,0))))</f>
        <v>0</v>
      </c>
      <c r="Z98" s="1">
        <f>IF(AC18="",0,(IF(AC18&gt;AD18,3,IF(AC18=AD18,1,0))))</f>
        <v>0</v>
      </c>
      <c r="AA98" s="1">
        <f>IF(AD18="",0,(IF(AD18&gt;AC18,3,IF(AD18=AC18,1,0))))</f>
        <v>0</v>
      </c>
      <c r="AF98" s="1">
        <f>IF(AI18="",0,(IF(AI18&gt;AJ18,3,IF(AI18=AJ18,1,0))))</f>
        <v>0</v>
      </c>
      <c r="AG98" s="1">
        <f>IF(AJ18="",0,(IF(AJ18&gt;AI18,3,IF(AJ18=AI18,1,0))))</f>
        <v>0</v>
      </c>
    </row>
    <row r="99" spans="2:33" hidden="1" x14ac:dyDescent="0.25">
      <c r="B99" s="1">
        <f>IF(E19="",0,(IF(E19&gt;F19,3,IF(E19=F19,1,0))))</f>
        <v>0</v>
      </c>
      <c r="C99" s="1">
        <f>IF(F19="",0,(IF(F19&gt;E19,3,IF(F19=E19,1,0))))</f>
        <v>0</v>
      </c>
      <c r="H99" s="1">
        <f>IF(K19="",0,(IF(K19&gt;L19,3,IF(K19=L19,1,0))))</f>
        <v>0</v>
      </c>
      <c r="I99" s="1">
        <f>IF(L19="",0,(IF(L19&gt;K19,3,IF(L19=K19,1,0))))</f>
        <v>0</v>
      </c>
      <c r="N99" s="1">
        <f>IF(Q19="",0,(IF(Q19&gt;R19,3,IF(Q19=R19,1,0))))</f>
        <v>0</v>
      </c>
      <c r="O99" s="1">
        <f>IF(R19="",0,(IF(R19&gt;Q19,3,IF(R19=Q19,1,0))))</f>
        <v>0</v>
      </c>
      <c r="T99" s="1">
        <f>IF(W19="",0,(IF(W19&gt;X19,3,IF(W19=X19,1,0))))</f>
        <v>0</v>
      </c>
      <c r="U99" s="1">
        <f>IF(X19="",0,(IF(X19&gt;W19,3,IF(X19=W19,1,0))))</f>
        <v>0</v>
      </c>
      <c r="Z99" s="1">
        <f>IF(AC19="",0,(IF(AC19&gt;AD19,3,IF(AC19=AD19,1,0))))</f>
        <v>0</v>
      </c>
      <c r="AA99" s="1">
        <f>IF(AD19="",0,(IF(AD19&gt;AC19,3,IF(AD19=AC19,1,0))))</f>
        <v>0</v>
      </c>
      <c r="AF99" s="1">
        <f>IF(AI19="",0,(IF(AI19&gt;AJ19,3,IF(AI19=AJ19,1,0))))</f>
        <v>0</v>
      </c>
      <c r="AG99" s="1">
        <f>IF(AJ19="",0,(IF(AJ19&gt;AI19,3,IF(AJ19=AI19,1,0))))</f>
        <v>0</v>
      </c>
    </row>
    <row r="100" spans="2:33" hidden="1" x14ac:dyDescent="0.25"/>
    <row r="101" spans="2:33" hidden="1" x14ac:dyDescent="0.25"/>
    <row r="102" spans="2:33" hidden="1" x14ac:dyDescent="0.25">
      <c r="B102" s="1">
        <f>IF(E22="",0,(IF(E22&gt;F22,3,IF(E22=F22,1,0))))</f>
        <v>0</v>
      </c>
      <c r="C102" s="1">
        <f>IF(F22="",0,(IF(F22&gt;E22,3,IF(F22=E22,1,0))))</f>
        <v>0</v>
      </c>
      <c r="H102" s="1">
        <f>IF(K22="",0,(IF(K22&gt;L22,3,IF(K22=L22,1,0))))</f>
        <v>0</v>
      </c>
      <c r="I102" s="1">
        <f>IF(L22="",0,(IF(L22&gt;K22,3,IF(L22=K22,1,0))))</f>
        <v>0</v>
      </c>
      <c r="N102" s="1">
        <f>IF(Q22="",0,(IF(Q22&gt;R22,3,IF(Q22=R22,1,0))))</f>
        <v>0</v>
      </c>
      <c r="O102" s="1">
        <f>IF(R22="",0,(IF(R22&gt;Q22,3,IF(R22=Q22,1,0))))</f>
        <v>0</v>
      </c>
      <c r="T102" s="1">
        <f>IF(W22="",0,(IF(W22&gt;X22,3,IF(W22=X22,1,0))))</f>
        <v>0</v>
      </c>
      <c r="U102" s="1">
        <f>IF(X22="",0,(IF(X22&gt;W22,3,IF(X22=W22,1,0))))</f>
        <v>0</v>
      </c>
      <c r="Z102" s="1">
        <f>IF(AC22="",0,(IF(AC22&gt;AD22,3,IF(AC22=AD22,1,0))))</f>
        <v>0</v>
      </c>
      <c r="AA102" s="1">
        <f>IF(AD22="",0,(IF(AD22&gt;AC22,3,IF(AD22=AC22,1,0))))</f>
        <v>0</v>
      </c>
      <c r="AF102" s="1">
        <f>IF(AI22="",0,(IF(AI22&gt;AJ22,3,IF(AI22=AJ22,1,0))))</f>
        <v>0</v>
      </c>
      <c r="AG102" s="1">
        <f>IF(AJ22="",0,(IF(AJ22&gt;AI22,3,IF(AJ22=AI22,1,0))))</f>
        <v>0</v>
      </c>
    </row>
    <row r="103" spans="2:33" hidden="1" x14ac:dyDescent="0.25">
      <c r="B103" s="1">
        <f>IF(E23="",0,(IF(E23&gt;F23,3,IF(E23=F23,1,0))))</f>
        <v>0</v>
      </c>
      <c r="C103" s="1">
        <f>IF(F23="",0,(IF(F23&gt;E23,3,IF(F23=E23,1,0))))</f>
        <v>0</v>
      </c>
      <c r="H103" s="1">
        <f>IF(K23="",0,(IF(K23&gt;L23,3,IF(K23=L23,1,0))))</f>
        <v>0</v>
      </c>
      <c r="I103" s="1">
        <f>IF(L23="",0,(IF(L23&gt;K23,3,IF(L23=K23,1,0))))</f>
        <v>0</v>
      </c>
      <c r="N103" s="1">
        <f>IF(Q23="",0,(IF(Q23&gt;R23,3,IF(Q23=R23,1,0))))</f>
        <v>0</v>
      </c>
      <c r="O103" s="1">
        <f>IF(R23="",0,(IF(R23&gt;Q23,3,IF(R23=Q23,1,0))))</f>
        <v>0</v>
      </c>
      <c r="T103" s="1">
        <f>IF(W23="",0,(IF(W23&gt;X23,3,IF(W23=X23,1,0))))</f>
        <v>0</v>
      </c>
      <c r="U103" s="1">
        <f>IF(X23="",0,(IF(X23&gt;W23,3,IF(X23=W23,1,0))))</f>
        <v>0</v>
      </c>
      <c r="Z103" s="1">
        <f>IF(AC23="",0,(IF(AC23&gt;AD23,3,IF(AC23=AD23,1,0))))</f>
        <v>0</v>
      </c>
      <c r="AA103" s="1">
        <f>IF(AD23="",0,(IF(AD23&gt;AC23,3,IF(AD23=AC23,1,0))))</f>
        <v>0</v>
      </c>
      <c r="AF103" s="1">
        <f>IF(AI23="",0,(IF(AI23&gt;AJ23,3,IF(AI23=AJ23,1,0))))</f>
        <v>0</v>
      </c>
      <c r="AG103" s="1">
        <f>IF(AJ23="",0,(IF(AJ23&gt;AI23,3,IF(AJ23=AI23,1,0))))</f>
        <v>0</v>
      </c>
    </row>
    <row r="104" spans="2:33" hidden="1" x14ac:dyDescent="0.25"/>
    <row r="105" spans="2:33" hidden="1" x14ac:dyDescent="0.25"/>
    <row r="106" spans="2:33" hidden="1" x14ac:dyDescent="0.25"/>
    <row r="107" spans="2:33" hidden="1" x14ac:dyDescent="0.25"/>
    <row r="108" spans="2:33" hidden="1" x14ac:dyDescent="0.25"/>
    <row r="109" spans="2:33" hidden="1" x14ac:dyDescent="0.25"/>
    <row r="110" spans="2:33" hidden="1" x14ac:dyDescent="0.25"/>
    <row r="111" spans="2:33" hidden="1" x14ac:dyDescent="0.25"/>
    <row r="112" spans="2:33" hidden="1" x14ac:dyDescent="0.25"/>
    <row r="113" spans="2:21" hidden="1" x14ac:dyDescent="0.25"/>
    <row r="114" spans="2:21" hidden="1" x14ac:dyDescent="0.25"/>
    <row r="115" spans="2:21" hidden="1" x14ac:dyDescent="0.25"/>
    <row r="116" spans="2:21" hidden="1" x14ac:dyDescent="0.25"/>
    <row r="117" spans="2:21" hidden="1" x14ac:dyDescent="0.25"/>
    <row r="118" spans="2:21" hidden="1" x14ac:dyDescent="0.25"/>
    <row r="119" spans="2:21" hidden="1" x14ac:dyDescent="0.25"/>
    <row r="120" spans="2:21" hidden="1" x14ac:dyDescent="0.25">
      <c r="B120" s="1">
        <f>IF(E44="",0,(IF(E44&gt;F44,3,IF(E44=F44,1,0))))</f>
        <v>0</v>
      </c>
      <c r="C120" s="1">
        <f>IF(F44="",0,(IF(F44&gt;E44,3,IF(F44=E44,1,0))))</f>
        <v>0</v>
      </c>
      <c r="H120" s="1">
        <f>IF(K44="",0,(IF(K44&gt;L44,3,IF(K44=L44,1,0))))</f>
        <v>0</v>
      </c>
      <c r="I120" s="1">
        <f>IF(L44="",0,(IF(L44&gt;K44,3,IF(L44=K44,1,0))))</f>
        <v>0</v>
      </c>
      <c r="N120" s="1">
        <f>IF(Q44="",0,(IF(Q44&gt;R44,3,IF(Q44=R44,1,0))))</f>
        <v>0</v>
      </c>
      <c r="O120" s="1">
        <f>IF(R44="",0,(IF(R44&gt;Q44,3,IF(R44=Q44,1,0))))</f>
        <v>0</v>
      </c>
      <c r="T120" s="1">
        <f>IF(W44="",0,(IF(W44&gt;X44,3,IF(W44=X44,1,0))))</f>
        <v>0</v>
      </c>
      <c r="U120" s="1">
        <f>IF(X44="",0,(IF(X44&gt;W44,3,IF(X44=W44,1,0))))</f>
        <v>0</v>
      </c>
    </row>
    <row r="121" spans="2:21" hidden="1" x14ac:dyDescent="0.25">
      <c r="B121" s="1">
        <f t="shared" ref="B121:B142" si="23">IF(E45="",0,(IF(E45&gt;F45,3,IF(E45=F45,1,0))))</f>
        <v>0</v>
      </c>
      <c r="C121" s="1">
        <f t="shared" ref="C121:C142" si="24">IF(F45="",0,(IF(F45&gt;E45,3,IF(F45=E45,1,0))))</f>
        <v>0</v>
      </c>
      <c r="H121" s="1">
        <f t="shared" ref="H121:H122" si="25">IF(K45="",0,(IF(K45&gt;L45,3,IF(K45=L45,1,0))))</f>
        <v>0</v>
      </c>
      <c r="I121" s="1">
        <f t="shared" ref="I121:I122" si="26">IF(L45="",0,(IF(L45&gt;K45,3,IF(L45=K45,1,0))))</f>
        <v>0</v>
      </c>
      <c r="N121" s="1">
        <f t="shared" ref="N121:N122" si="27">IF(Q45="",0,(IF(Q45&gt;R45,3,IF(Q45=R45,1,0))))</f>
        <v>0</v>
      </c>
      <c r="O121" s="1">
        <f t="shared" ref="O121:O122" si="28">IF(R45="",0,(IF(R45&gt;Q45,3,IF(R45=Q45,1,0))))</f>
        <v>0</v>
      </c>
      <c r="T121" s="1">
        <f t="shared" ref="T121:T122" si="29">IF(W45="",0,(IF(W45&gt;X45,3,IF(W45=X45,1,0))))</f>
        <v>0</v>
      </c>
      <c r="U121" s="1">
        <f t="shared" ref="U121:U122" si="30">IF(X45="",0,(IF(X45&gt;W45,3,IF(X45=W45,1,0))))</f>
        <v>0</v>
      </c>
    </row>
    <row r="122" spans="2:21" hidden="1" x14ac:dyDescent="0.25">
      <c r="B122" s="1">
        <f t="shared" si="23"/>
        <v>0</v>
      </c>
      <c r="C122" s="1">
        <f t="shared" si="24"/>
        <v>0</v>
      </c>
      <c r="H122" s="1">
        <f t="shared" si="25"/>
        <v>0</v>
      </c>
      <c r="I122" s="1">
        <f t="shared" si="26"/>
        <v>0</v>
      </c>
      <c r="N122" s="1">
        <f t="shared" si="27"/>
        <v>0</v>
      </c>
      <c r="O122" s="1">
        <f t="shared" si="28"/>
        <v>0</v>
      </c>
      <c r="T122" s="1">
        <f t="shared" si="29"/>
        <v>0</v>
      </c>
      <c r="U122" s="1">
        <f t="shared" si="30"/>
        <v>0</v>
      </c>
    </row>
    <row r="123" spans="2:21" hidden="1" x14ac:dyDescent="0.25"/>
    <row r="124" spans="2:21" hidden="1" x14ac:dyDescent="0.25"/>
    <row r="125" spans="2:21" hidden="1" x14ac:dyDescent="0.25">
      <c r="B125" s="1">
        <f t="shared" si="23"/>
        <v>0</v>
      </c>
      <c r="C125" s="1">
        <f t="shared" si="24"/>
        <v>0</v>
      </c>
      <c r="H125" s="1">
        <f t="shared" ref="H125:H127" si="31">IF(K49="",0,(IF(K49&gt;L49,3,IF(K49=L49,1,0))))</f>
        <v>0</v>
      </c>
      <c r="I125" s="1">
        <f t="shared" ref="I125:I127" si="32">IF(L49="",0,(IF(L49&gt;K49,3,IF(L49=K49,1,0))))</f>
        <v>0</v>
      </c>
      <c r="N125" s="1">
        <f t="shared" ref="N125:N127" si="33">IF(Q49="",0,(IF(Q49&gt;R49,3,IF(Q49=R49,1,0))))</f>
        <v>0</v>
      </c>
      <c r="O125" s="1">
        <f t="shared" ref="O125:O127" si="34">IF(R49="",0,(IF(R49&gt;Q49,3,IF(R49=Q49,1,0))))</f>
        <v>0</v>
      </c>
      <c r="T125" s="1">
        <f t="shared" ref="T125:T127" si="35">IF(W49="",0,(IF(W49&gt;X49,3,IF(W49=X49,1,0))))</f>
        <v>0</v>
      </c>
      <c r="U125" s="1">
        <f t="shared" ref="U125:U127" si="36">IF(X49="",0,(IF(X49&gt;W49,3,IF(X49=W49,1,0))))</f>
        <v>0</v>
      </c>
    </row>
    <row r="126" spans="2:21" hidden="1" x14ac:dyDescent="0.25">
      <c r="B126" s="1">
        <f t="shared" si="23"/>
        <v>0</v>
      </c>
      <c r="C126" s="1">
        <f t="shared" si="24"/>
        <v>0</v>
      </c>
      <c r="H126" s="1">
        <f t="shared" si="31"/>
        <v>0</v>
      </c>
      <c r="I126" s="1">
        <f t="shared" si="32"/>
        <v>0</v>
      </c>
      <c r="N126" s="1">
        <f t="shared" si="33"/>
        <v>0</v>
      </c>
      <c r="O126" s="1">
        <f t="shared" si="34"/>
        <v>0</v>
      </c>
      <c r="T126" s="1">
        <f t="shared" si="35"/>
        <v>0</v>
      </c>
      <c r="U126" s="1">
        <f t="shared" si="36"/>
        <v>0</v>
      </c>
    </row>
    <row r="127" spans="2:21" hidden="1" x14ac:dyDescent="0.25">
      <c r="B127" s="1">
        <f t="shared" si="23"/>
        <v>0</v>
      </c>
      <c r="C127" s="1">
        <f t="shared" si="24"/>
        <v>0</v>
      </c>
      <c r="H127" s="1">
        <f t="shared" si="31"/>
        <v>0</v>
      </c>
      <c r="I127" s="1">
        <f t="shared" si="32"/>
        <v>0</v>
      </c>
      <c r="N127" s="1">
        <f t="shared" si="33"/>
        <v>0</v>
      </c>
      <c r="O127" s="1">
        <f t="shared" si="34"/>
        <v>0</v>
      </c>
      <c r="T127" s="1">
        <f t="shared" si="35"/>
        <v>0</v>
      </c>
      <c r="U127" s="1">
        <f t="shared" si="36"/>
        <v>0</v>
      </c>
    </row>
    <row r="128" spans="2:21" hidden="1" x14ac:dyDescent="0.25"/>
    <row r="129" spans="2:21" hidden="1" x14ac:dyDescent="0.25"/>
    <row r="130" spans="2:21" hidden="1" x14ac:dyDescent="0.25">
      <c r="B130" s="1">
        <f t="shared" si="23"/>
        <v>0</v>
      </c>
      <c r="C130" s="1">
        <f t="shared" si="24"/>
        <v>0</v>
      </c>
      <c r="H130" s="1">
        <f t="shared" ref="H130:H132" si="37">IF(K54="",0,(IF(K54&gt;L54,3,IF(K54=L54,1,0))))</f>
        <v>0</v>
      </c>
      <c r="I130" s="1">
        <f t="shared" ref="I130:I132" si="38">IF(L54="",0,(IF(L54&gt;K54,3,IF(L54=K54,1,0))))</f>
        <v>0</v>
      </c>
      <c r="N130" s="1">
        <f t="shared" ref="N130:N132" si="39">IF(Q54="",0,(IF(Q54&gt;R54,3,IF(Q54=R54,1,0))))</f>
        <v>0</v>
      </c>
      <c r="O130" s="1">
        <f t="shared" ref="O130:O132" si="40">IF(R54="",0,(IF(R54&gt;Q54,3,IF(R54=Q54,1,0))))</f>
        <v>0</v>
      </c>
      <c r="T130" s="1">
        <f t="shared" ref="T130:T132" si="41">IF(W54="",0,(IF(W54&gt;X54,3,IF(W54=X54,1,0))))</f>
        <v>0</v>
      </c>
      <c r="U130" s="1">
        <f t="shared" ref="U130:U132" si="42">IF(X54="",0,(IF(X54&gt;W54,3,IF(X54=W54,1,0))))</f>
        <v>0</v>
      </c>
    </row>
    <row r="131" spans="2:21" hidden="1" x14ac:dyDescent="0.25">
      <c r="B131" s="1">
        <f t="shared" si="23"/>
        <v>0</v>
      </c>
      <c r="C131" s="1">
        <f t="shared" si="24"/>
        <v>0</v>
      </c>
      <c r="H131" s="1">
        <f t="shared" si="37"/>
        <v>0</v>
      </c>
      <c r="I131" s="1">
        <f t="shared" si="38"/>
        <v>0</v>
      </c>
      <c r="N131" s="1">
        <f t="shared" si="39"/>
        <v>0</v>
      </c>
      <c r="O131" s="1">
        <f t="shared" si="40"/>
        <v>0</v>
      </c>
      <c r="T131" s="1">
        <f t="shared" si="41"/>
        <v>0</v>
      </c>
      <c r="U131" s="1">
        <f t="shared" si="42"/>
        <v>0</v>
      </c>
    </row>
    <row r="132" spans="2:21" hidden="1" x14ac:dyDescent="0.25">
      <c r="B132" s="1">
        <f t="shared" si="23"/>
        <v>0</v>
      </c>
      <c r="C132" s="1">
        <f t="shared" si="24"/>
        <v>0</v>
      </c>
      <c r="H132" s="1">
        <f t="shared" si="37"/>
        <v>0</v>
      </c>
      <c r="I132" s="1">
        <f t="shared" si="38"/>
        <v>0</v>
      </c>
      <c r="N132" s="1">
        <f t="shared" si="39"/>
        <v>0</v>
      </c>
      <c r="O132" s="1">
        <f t="shared" si="40"/>
        <v>0</v>
      </c>
      <c r="T132" s="1">
        <f t="shared" si="41"/>
        <v>0</v>
      </c>
      <c r="U132" s="1">
        <f t="shared" si="42"/>
        <v>0</v>
      </c>
    </row>
    <row r="133" spans="2:21" hidden="1" x14ac:dyDescent="0.25"/>
    <row r="134" spans="2:21" hidden="1" x14ac:dyDescent="0.25"/>
    <row r="135" spans="2:21" hidden="1" x14ac:dyDescent="0.25">
      <c r="B135" s="1">
        <f t="shared" si="23"/>
        <v>0</v>
      </c>
      <c r="C135" s="1">
        <f t="shared" si="24"/>
        <v>0</v>
      </c>
      <c r="H135" s="1">
        <f t="shared" ref="H135:H137" si="43">IF(K59="",0,(IF(K59&gt;L59,3,IF(K59=L59,1,0))))</f>
        <v>0</v>
      </c>
      <c r="I135" s="1">
        <f t="shared" ref="I135:I137" si="44">IF(L59="",0,(IF(L59&gt;K59,3,IF(L59=K59,1,0))))</f>
        <v>0</v>
      </c>
      <c r="N135" s="1">
        <f t="shared" ref="N135:N137" si="45">IF(Q59="",0,(IF(Q59&gt;R59,3,IF(Q59=R59,1,0))))</f>
        <v>0</v>
      </c>
      <c r="O135" s="1">
        <f t="shared" ref="O135:O137" si="46">IF(R59="",0,(IF(R59&gt;Q59,3,IF(R59=Q59,1,0))))</f>
        <v>0</v>
      </c>
      <c r="T135" s="1">
        <f t="shared" ref="T135:T137" si="47">IF(W59="",0,(IF(W59&gt;X59,3,IF(W59=X59,1,0))))</f>
        <v>0</v>
      </c>
      <c r="U135" s="1">
        <f t="shared" ref="U135:U137" si="48">IF(X59="",0,(IF(X59&gt;W59,3,IF(X59=W59,1,0))))</f>
        <v>0</v>
      </c>
    </row>
    <row r="136" spans="2:21" hidden="1" x14ac:dyDescent="0.25">
      <c r="B136" s="1">
        <f t="shared" si="23"/>
        <v>0</v>
      </c>
      <c r="C136" s="1">
        <f t="shared" si="24"/>
        <v>0</v>
      </c>
      <c r="H136" s="1">
        <f t="shared" si="43"/>
        <v>0</v>
      </c>
      <c r="I136" s="1">
        <f t="shared" si="44"/>
        <v>0</v>
      </c>
      <c r="N136" s="1">
        <f t="shared" si="45"/>
        <v>0</v>
      </c>
      <c r="O136" s="1">
        <f t="shared" si="46"/>
        <v>0</v>
      </c>
      <c r="T136" s="1">
        <f t="shared" si="47"/>
        <v>0</v>
      </c>
      <c r="U136" s="1">
        <f t="shared" si="48"/>
        <v>0</v>
      </c>
    </row>
    <row r="137" spans="2:21" hidden="1" x14ac:dyDescent="0.25">
      <c r="B137" s="1">
        <f t="shared" si="23"/>
        <v>0</v>
      </c>
      <c r="C137" s="1">
        <f t="shared" si="24"/>
        <v>0</v>
      </c>
      <c r="H137" s="1">
        <f t="shared" si="43"/>
        <v>0</v>
      </c>
      <c r="I137" s="1">
        <f t="shared" si="44"/>
        <v>0</v>
      </c>
      <c r="N137" s="1">
        <f t="shared" si="45"/>
        <v>0</v>
      </c>
      <c r="O137" s="1">
        <f t="shared" si="46"/>
        <v>0</v>
      </c>
      <c r="T137" s="1">
        <f t="shared" si="47"/>
        <v>0</v>
      </c>
      <c r="U137" s="1">
        <f t="shared" si="48"/>
        <v>0</v>
      </c>
    </row>
    <row r="138" spans="2:21" hidden="1" x14ac:dyDescent="0.25"/>
    <row r="139" spans="2:21" hidden="1" x14ac:dyDescent="0.25"/>
    <row r="140" spans="2:21" hidden="1" x14ac:dyDescent="0.25">
      <c r="B140" s="1">
        <f t="shared" si="23"/>
        <v>0</v>
      </c>
      <c r="C140" s="1">
        <f t="shared" si="24"/>
        <v>0</v>
      </c>
      <c r="H140" s="1">
        <f t="shared" ref="H140:H142" si="49">IF(K64="",0,(IF(K64&gt;L64,3,IF(K64=L64,1,0))))</f>
        <v>0</v>
      </c>
      <c r="I140" s="1">
        <f t="shared" ref="I140:I142" si="50">IF(L64="",0,(IF(L64&gt;K64,3,IF(L64=K64,1,0))))</f>
        <v>0</v>
      </c>
      <c r="N140" s="1">
        <f t="shared" ref="N140:N142" si="51">IF(Q64="",0,(IF(Q64&gt;R64,3,IF(Q64=R64,1,0))))</f>
        <v>0</v>
      </c>
      <c r="O140" s="1">
        <f t="shared" ref="O140:O142" si="52">IF(R64="",0,(IF(R64&gt;Q64,3,IF(R64=Q64,1,0))))</f>
        <v>0</v>
      </c>
      <c r="T140" s="1">
        <f t="shared" ref="T140:T142" si="53">IF(W64="",0,(IF(W64&gt;X64,3,IF(W64=X64,1,0))))</f>
        <v>0</v>
      </c>
      <c r="U140" s="1">
        <f t="shared" ref="U140:U142" si="54">IF(X64="",0,(IF(X64&gt;W64,3,IF(X64=W64,1,0))))</f>
        <v>0</v>
      </c>
    </row>
    <row r="141" spans="2:21" hidden="1" x14ac:dyDescent="0.25">
      <c r="B141" s="1">
        <f t="shared" si="23"/>
        <v>0</v>
      </c>
      <c r="C141" s="1">
        <f t="shared" si="24"/>
        <v>0</v>
      </c>
      <c r="H141" s="1">
        <f t="shared" si="49"/>
        <v>0</v>
      </c>
      <c r="I141" s="1">
        <f t="shared" si="50"/>
        <v>0</v>
      </c>
      <c r="N141" s="1">
        <f t="shared" si="51"/>
        <v>0</v>
      </c>
      <c r="O141" s="1">
        <f t="shared" si="52"/>
        <v>0</v>
      </c>
      <c r="T141" s="1">
        <f t="shared" si="53"/>
        <v>0</v>
      </c>
      <c r="U141" s="1">
        <f t="shared" si="54"/>
        <v>0</v>
      </c>
    </row>
    <row r="142" spans="2:21" hidden="1" x14ac:dyDescent="0.25">
      <c r="B142" s="1">
        <f t="shared" si="23"/>
        <v>0</v>
      </c>
      <c r="C142" s="1">
        <f t="shared" si="24"/>
        <v>0</v>
      </c>
      <c r="H142" s="1">
        <f t="shared" si="49"/>
        <v>0</v>
      </c>
      <c r="I142" s="1">
        <f t="shared" si="50"/>
        <v>0</v>
      </c>
      <c r="N142" s="1">
        <f t="shared" si="51"/>
        <v>0</v>
      </c>
      <c r="O142" s="1">
        <f t="shared" si="52"/>
        <v>0</v>
      </c>
      <c r="T142" s="1">
        <f t="shared" si="53"/>
        <v>0</v>
      </c>
      <c r="U142" s="1">
        <f t="shared" si="54"/>
        <v>0</v>
      </c>
    </row>
    <row r="143" spans="2:21" hidden="1" x14ac:dyDescent="0.25"/>
    <row r="144" spans="2:21" hidden="1" x14ac:dyDescent="0.25"/>
    <row r="145" hidden="1" x14ac:dyDescent="0.25"/>
  </sheetData>
  <sheetProtection sheet="1" scenarios="1" selectLockedCells="1"/>
  <mergeCells count="408">
    <mergeCell ref="B6:I6"/>
    <mergeCell ref="K6:M6"/>
    <mergeCell ref="C7:D7"/>
    <mergeCell ref="E7:F7"/>
    <mergeCell ref="I7:J7"/>
    <mergeCell ref="K7:L7"/>
    <mergeCell ref="B1:AG1"/>
    <mergeCell ref="AH1:AJ5"/>
    <mergeCell ref="B3:J3"/>
    <mergeCell ref="F4:H4"/>
    <mergeCell ref="J4:L4"/>
    <mergeCell ref="M4:N4"/>
    <mergeCell ref="F5:H5"/>
    <mergeCell ref="M5:N5"/>
    <mergeCell ref="S5:T5"/>
    <mergeCell ref="C9:D9"/>
    <mergeCell ref="E9:F9"/>
    <mergeCell ref="I9:J9"/>
    <mergeCell ref="K9:L9"/>
    <mergeCell ref="O9:P9"/>
    <mergeCell ref="Q9:R9"/>
    <mergeCell ref="AG7:AH7"/>
    <mergeCell ref="AI7:AJ7"/>
    <mergeCell ref="C8:D8"/>
    <mergeCell ref="E8:F8"/>
    <mergeCell ref="I8:J8"/>
    <mergeCell ref="K8:L8"/>
    <mergeCell ref="O8:P8"/>
    <mergeCell ref="Q8:R8"/>
    <mergeCell ref="U8:V8"/>
    <mergeCell ref="W8:X8"/>
    <mergeCell ref="O7:P7"/>
    <mergeCell ref="Q7:R7"/>
    <mergeCell ref="U7:V7"/>
    <mergeCell ref="W7:X7"/>
    <mergeCell ref="AA7:AB7"/>
    <mergeCell ref="AC7:AD7"/>
    <mergeCell ref="U9:V9"/>
    <mergeCell ref="W9:X9"/>
    <mergeCell ref="AA9:AB9"/>
    <mergeCell ref="AC9:AD9"/>
    <mergeCell ref="AG9:AH9"/>
    <mergeCell ref="AI9:AJ9"/>
    <mergeCell ref="AA8:AB8"/>
    <mergeCell ref="AC8:AD8"/>
    <mergeCell ref="AG8:AH8"/>
    <mergeCell ref="AI8:AJ8"/>
    <mergeCell ref="U10:V10"/>
    <mergeCell ref="W10:X10"/>
    <mergeCell ref="AA10:AB10"/>
    <mergeCell ref="AC10:AD10"/>
    <mergeCell ref="AG10:AH10"/>
    <mergeCell ref="AI10:AJ10"/>
    <mergeCell ref="C10:D10"/>
    <mergeCell ref="E10:F10"/>
    <mergeCell ref="I10:J10"/>
    <mergeCell ref="K10:L10"/>
    <mergeCell ref="O10:P10"/>
    <mergeCell ref="Q10:R10"/>
    <mergeCell ref="U11:V11"/>
    <mergeCell ref="W11:X11"/>
    <mergeCell ref="AA11:AB11"/>
    <mergeCell ref="AC11:AD11"/>
    <mergeCell ref="AG11:AH11"/>
    <mergeCell ref="AI11:AJ11"/>
    <mergeCell ref="C11:D11"/>
    <mergeCell ref="E11:F11"/>
    <mergeCell ref="I11:J11"/>
    <mergeCell ref="K11:L11"/>
    <mergeCell ref="O11:P11"/>
    <mergeCell ref="Q11:R11"/>
    <mergeCell ref="U13:V13"/>
    <mergeCell ref="W13:X13"/>
    <mergeCell ref="AA13:AB13"/>
    <mergeCell ref="AC13:AD13"/>
    <mergeCell ref="AG13:AH13"/>
    <mergeCell ref="AI13:AJ13"/>
    <mergeCell ref="C13:D13"/>
    <mergeCell ref="E13:F13"/>
    <mergeCell ref="I13:J13"/>
    <mergeCell ref="K13:L13"/>
    <mergeCell ref="O13:P13"/>
    <mergeCell ref="Q13:R13"/>
    <mergeCell ref="U17:V17"/>
    <mergeCell ref="W17:X17"/>
    <mergeCell ref="AA17:AB17"/>
    <mergeCell ref="AC17:AD17"/>
    <mergeCell ref="AG17:AH17"/>
    <mergeCell ref="AI17:AJ17"/>
    <mergeCell ref="C17:D17"/>
    <mergeCell ref="E17:F17"/>
    <mergeCell ref="I17:J17"/>
    <mergeCell ref="K17:L17"/>
    <mergeCell ref="O17:P17"/>
    <mergeCell ref="Q17:R17"/>
    <mergeCell ref="U21:V21"/>
    <mergeCell ref="W21:X21"/>
    <mergeCell ref="AA21:AB21"/>
    <mergeCell ref="AC21:AD21"/>
    <mergeCell ref="AG21:AH21"/>
    <mergeCell ref="AI21:AJ21"/>
    <mergeCell ref="C21:D21"/>
    <mergeCell ref="E21:F21"/>
    <mergeCell ref="I21:J21"/>
    <mergeCell ref="K21:L21"/>
    <mergeCell ref="O21:P21"/>
    <mergeCell ref="Q21:R21"/>
    <mergeCell ref="AA27:AB27"/>
    <mergeCell ref="B25:AJ25"/>
    <mergeCell ref="C26:D26"/>
    <mergeCell ref="E26:F26"/>
    <mergeCell ref="I26:J26"/>
    <mergeCell ref="K26:L26"/>
    <mergeCell ref="O26:P26"/>
    <mergeCell ref="Q26:R26"/>
    <mergeCell ref="U26:V26"/>
    <mergeCell ref="W26:X26"/>
    <mergeCell ref="AA26:AB26"/>
    <mergeCell ref="AC26:AD26"/>
    <mergeCell ref="AG26:AH26"/>
    <mergeCell ref="AI26:AJ26"/>
    <mergeCell ref="AA29:AB29"/>
    <mergeCell ref="AC27:AD27"/>
    <mergeCell ref="AG27:AH27"/>
    <mergeCell ref="AI27:AJ27"/>
    <mergeCell ref="C28:D28"/>
    <mergeCell ref="E28:F28"/>
    <mergeCell ref="I28:J28"/>
    <mergeCell ref="K28:L28"/>
    <mergeCell ref="O28:P28"/>
    <mergeCell ref="AI28:AJ28"/>
    <mergeCell ref="Q28:R28"/>
    <mergeCell ref="U28:V28"/>
    <mergeCell ref="W28:X28"/>
    <mergeCell ref="AA28:AB28"/>
    <mergeCell ref="AC28:AD28"/>
    <mergeCell ref="AG28:AH28"/>
    <mergeCell ref="C27:D27"/>
    <mergeCell ref="E27:F27"/>
    <mergeCell ref="I27:J27"/>
    <mergeCell ref="K27:L27"/>
    <mergeCell ref="O27:P27"/>
    <mergeCell ref="Q27:R27"/>
    <mergeCell ref="U27:V27"/>
    <mergeCell ref="W27:X27"/>
    <mergeCell ref="W30:X30"/>
    <mergeCell ref="AA30:AB30"/>
    <mergeCell ref="AC30:AD30"/>
    <mergeCell ref="AG30:AH30"/>
    <mergeCell ref="AI30:AJ30"/>
    <mergeCell ref="A31:AJ31"/>
    <mergeCell ref="AC29:AD29"/>
    <mergeCell ref="AG29:AH29"/>
    <mergeCell ref="AI29:AJ29"/>
    <mergeCell ref="C30:D30"/>
    <mergeCell ref="E30:F30"/>
    <mergeCell ref="I30:J30"/>
    <mergeCell ref="K30:L30"/>
    <mergeCell ref="O30:P30"/>
    <mergeCell ref="Q30:R30"/>
    <mergeCell ref="U30:V30"/>
    <mergeCell ref="C29:D29"/>
    <mergeCell ref="E29:F29"/>
    <mergeCell ref="I29:J29"/>
    <mergeCell ref="K29:L29"/>
    <mergeCell ref="O29:P29"/>
    <mergeCell ref="Q29:R29"/>
    <mergeCell ref="U29:V29"/>
    <mergeCell ref="W29:X29"/>
    <mergeCell ref="U34:V34"/>
    <mergeCell ref="W34:X34"/>
    <mergeCell ref="B33:I33"/>
    <mergeCell ref="K33:M33"/>
    <mergeCell ref="P33:X33"/>
    <mergeCell ref="AB33:AJ33"/>
    <mergeCell ref="C34:D34"/>
    <mergeCell ref="E34:F34"/>
    <mergeCell ref="I34:J34"/>
    <mergeCell ref="K34:L34"/>
    <mergeCell ref="O34:P34"/>
    <mergeCell ref="Q34:R34"/>
    <mergeCell ref="U36:V36"/>
    <mergeCell ref="W36:X36"/>
    <mergeCell ref="C36:D36"/>
    <mergeCell ref="E36:F36"/>
    <mergeCell ref="I36:J36"/>
    <mergeCell ref="K36:L36"/>
    <mergeCell ref="O36:P36"/>
    <mergeCell ref="Q36:R36"/>
    <mergeCell ref="U35:V35"/>
    <mergeCell ref="W35:X35"/>
    <mergeCell ref="C35:D35"/>
    <mergeCell ref="E35:F35"/>
    <mergeCell ref="I35:J35"/>
    <mergeCell ref="K35:L35"/>
    <mergeCell ref="O35:P35"/>
    <mergeCell ref="Q35:R35"/>
    <mergeCell ref="C40:D40"/>
    <mergeCell ref="E40:F40"/>
    <mergeCell ref="I40:J40"/>
    <mergeCell ref="K40:L40"/>
    <mergeCell ref="O40:P40"/>
    <mergeCell ref="Q40:R40"/>
    <mergeCell ref="U37:V37"/>
    <mergeCell ref="W37:X37"/>
    <mergeCell ref="C37:D37"/>
    <mergeCell ref="E37:F37"/>
    <mergeCell ref="I37:J37"/>
    <mergeCell ref="K37:L37"/>
    <mergeCell ref="O37:P37"/>
    <mergeCell ref="Q37:R37"/>
    <mergeCell ref="W38:X38"/>
    <mergeCell ref="W39:X39"/>
    <mergeCell ref="U40:V40"/>
    <mergeCell ref="W40:X40"/>
    <mergeCell ref="C48:D48"/>
    <mergeCell ref="E48:F48"/>
    <mergeCell ref="I48:J48"/>
    <mergeCell ref="K48:L48"/>
    <mergeCell ref="O48:P48"/>
    <mergeCell ref="Q48:R48"/>
    <mergeCell ref="U43:V43"/>
    <mergeCell ref="W43:X43"/>
    <mergeCell ref="C43:D43"/>
    <mergeCell ref="E43:F43"/>
    <mergeCell ref="I43:J43"/>
    <mergeCell ref="K43:L43"/>
    <mergeCell ref="O43:P43"/>
    <mergeCell ref="Q43:R43"/>
    <mergeCell ref="U48:V48"/>
    <mergeCell ref="W48:X48"/>
    <mergeCell ref="K69:L69"/>
    <mergeCell ref="O69:P69"/>
    <mergeCell ref="Q69:R69"/>
    <mergeCell ref="U69:V69"/>
    <mergeCell ref="W69:X69"/>
    <mergeCell ref="U53:V53"/>
    <mergeCell ref="W53:X53"/>
    <mergeCell ref="C53:D53"/>
    <mergeCell ref="E53:F53"/>
    <mergeCell ref="I53:J53"/>
    <mergeCell ref="K53:L53"/>
    <mergeCell ref="O53:P53"/>
    <mergeCell ref="Q53:R53"/>
    <mergeCell ref="E63:F63"/>
    <mergeCell ref="I63:J63"/>
    <mergeCell ref="K63:L63"/>
    <mergeCell ref="O63:P63"/>
    <mergeCell ref="Q63:R63"/>
    <mergeCell ref="I58:J58"/>
    <mergeCell ref="K58:L58"/>
    <mergeCell ref="O58:P58"/>
    <mergeCell ref="Q58:R58"/>
    <mergeCell ref="C71:D71"/>
    <mergeCell ref="E71:F71"/>
    <mergeCell ref="I71:J71"/>
    <mergeCell ref="K71:L71"/>
    <mergeCell ref="O71:P71"/>
    <mergeCell ref="Q71:R71"/>
    <mergeCell ref="U70:V70"/>
    <mergeCell ref="W70:X70"/>
    <mergeCell ref="C70:D70"/>
    <mergeCell ref="E70:F70"/>
    <mergeCell ref="I70:J70"/>
    <mergeCell ref="K70:L70"/>
    <mergeCell ref="O70:P70"/>
    <mergeCell ref="Q70:R70"/>
    <mergeCell ref="E75:F75"/>
    <mergeCell ref="I75:J75"/>
    <mergeCell ref="K75:L75"/>
    <mergeCell ref="O75:P75"/>
    <mergeCell ref="Q75:R75"/>
    <mergeCell ref="U72:V72"/>
    <mergeCell ref="W72:X72"/>
    <mergeCell ref="C72:D72"/>
    <mergeCell ref="E72:F72"/>
    <mergeCell ref="I72:J72"/>
    <mergeCell ref="K72:L72"/>
    <mergeCell ref="O72:P72"/>
    <mergeCell ref="Q72:R72"/>
    <mergeCell ref="O73:P73"/>
    <mergeCell ref="Q73:R73"/>
    <mergeCell ref="O74:P74"/>
    <mergeCell ref="Q74:R74"/>
    <mergeCell ref="U73:V73"/>
    <mergeCell ref="W73:X73"/>
    <mergeCell ref="U74:V74"/>
    <mergeCell ref="W74:X74"/>
    <mergeCell ref="AC81:AD81"/>
    <mergeCell ref="AI81:AJ81"/>
    <mergeCell ref="U80:V80"/>
    <mergeCell ref="W80:X80"/>
    <mergeCell ref="AA80:AB80"/>
    <mergeCell ref="AC80:AD80"/>
    <mergeCell ref="AG80:AH80"/>
    <mergeCell ref="AI80:AJ80"/>
    <mergeCell ref="B76:X76"/>
    <mergeCell ref="B77:AJ77"/>
    <mergeCell ref="B79:AJ79"/>
    <mergeCell ref="C80:D80"/>
    <mergeCell ref="E80:F80"/>
    <mergeCell ref="G80:G84"/>
    <mergeCell ref="I80:J80"/>
    <mergeCell ref="K80:L80"/>
    <mergeCell ref="O80:P80"/>
    <mergeCell ref="Q80:R80"/>
    <mergeCell ref="AC84:AD84"/>
    <mergeCell ref="AI84:AJ84"/>
    <mergeCell ref="E83:F83"/>
    <mergeCell ref="K83:L83"/>
    <mergeCell ref="Q83:R83"/>
    <mergeCell ref="W83:X83"/>
    <mergeCell ref="AC83:AD83"/>
    <mergeCell ref="AI83:AJ83"/>
    <mergeCell ref="E82:F82"/>
    <mergeCell ref="K82:L82"/>
    <mergeCell ref="Q82:R82"/>
    <mergeCell ref="W82:X82"/>
    <mergeCell ref="AC82:AD82"/>
    <mergeCell ref="AI82:AJ82"/>
    <mergeCell ref="W92:X92"/>
    <mergeCell ref="E89:F89"/>
    <mergeCell ref="K89:L89"/>
    <mergeCell ref="Q89:R89"/>
    <mergeCell ref="W89:X89"/>
    <mergeCell ref="E88:F88"/>
    <mergeCell ref="K88:L88"/>
    <mergeCell ref="Q88:R88"/>
    <mergeCell ref="W88:X88"/>
    <mergeCell ref="G86:G92"/>
    <mergeCell ref="I86:J86"/>
    <mergeCell ref="K86:L86"/>
    <mergeCell ref="O86:P86"/>
    <mergeCell ref="Q86:R86"/>
    <mergeCell ref="U86:V86"/>
    <mergeCell ref="W86:X86"/>
    <mergeCell ref="B93:R93"/>
    <mergeCell ref="C38:D38"/>
    <mergeCell ref="C39:D39"/>
    <mergeCell ref="C73:D73"/>
    <mergeCell ref="C74:D74"/>
    <mergeCell ref="E73:F73"/>
    <mergeCell ref="E74:F74"/>
    <mergeCell ref="C58:D58"/>
    <mergeCell ref="E58:F58"/>
    <mergeCell ref="E92:F92"/>
    <mergeCell ref="K92:L92"/>
    <mergeCell ref="Q92:R92"/>
    <mergeCell ref="E87:F87"/>
    <mergeCell ref="K87:L87"/>
    <mergeCell ref="Q87:R87"/>
    <mergeCell ref="C86:D86"/>
    <mergeCell ref="E86:F86"/>
    <mergeCell ref="E84:F84"/>
    <mergeCell ref="K84:L84"/>
    <mergeCell ref="Q84:R84"/>
    <mergeCell ref="E81:F81"/>
    <mergeCell ref="K81:L81"/>
    <mergeCell ref="Q81:R81"/>
    <mergeCell ref="C75:D75"/>
    <mergeCell ref="A34:A66"/>
    <mergeCell ref="Y34:AJ76"/>
    <mergeCell ref="B47:X47"/>
    <mergeCell ref="E90:F90"/>
    <mergeCell ref="E91:F91"/>
    <mergeCell ref="E38:F38"/>
    <mergeCell ref="E39:F39"/>
    <mergeCell ref="I73:J73"/>
    <mergeCell ref="I74:J74"/>
    <mergeCell ref="B42:F42"/>
    <mergeCell ref="H42:L42"/>
    <mergeCell ref="N42:R42"/>
    <mergeCell ref="B85:Y85"/>
    <mergeCell ref="I38:J38"/>
    <mergeCell ref="I39:J39"/>
    <mergeCell ref="O38:P38"/>
    <mergeCell ref="O39:P39"/>
    <mergeCell ref="U38:V38"/>
    <mergeCell ref="U39:V39"/>
    <mergeCell ref="Q38:R38"/>
    <mergeCell ref="Q39:R39"/>
    <mergeCell ref="U63:V63"/>
    <mergeCell ref="W63:X63"/>
    <mergeCell ref="C63:D63"/>
    <mergeCell ref="Q90:R90"/>
    <mergeCell ref="Q91:R91"/>
    <mergeCell ref="W90:X90"/>
    <mergeCell ref="W91:X91"/>
    <mergeCell ref="K73:L73"/>
    <mergeCell ref="K74:L74"/>
    <mergeCell ref="K90:L90"/>
    <mergeCell ref="K91:L91"/>
    <mergeCell ref="K38:L38"/>
    <mergeCell ref="K39:L39"/>
    <mergeCell ref="T42:X42"/>
    <mergeCell ref="U58:V58"/>
    <mergeCell ref="W58:X58"/>
    <mergeCell ref="W87:X87"/>
    <mergeCell ref="W84:X84"/>
    <mergeCell ref="W81:X81"/>
    <mergeCell ref="U75:V75"/>
    <mergeCell ref="W75:X75"/>
    <mergeCell ref="U71:V71"/>
    <mergeCell ref="W71:X71"/>
    <mergeCell ref="B68:X68"/>
    <mergeCell ref="C69:D69"/>
    <mergeCell ref="E69:F69"/>
    <mergeCell ref="I69:J69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53" orientation="landscape" horizontalDpi="300" verticalDpi="300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J109"/>
  <sheetViews>
    <sheetView showGridLines="0" zoomScaleNormal="100" workbookViewId="0">
      <selection activeCell="B1" sqref="B1:AG1"/>
    </sheetView>
  </sheetViews>
  <sheetFormatPr baseColWidth="10" defaultColWidth="11.5703125" defaultRowHeight="15" x14ac:dyDescent="0.25"/>
  <cols>
    <col min="1" max="1" width="6.5703125" style="1" customWidth="1"/>
    <col min="2" max="2" width="5.85546875" style="1" customWidth="1"/>
    <col min="3" max="4" width="12.85546875" style="1" customWidth="1"/>
    <col min="5" max="6" width="3.42578125" style="1" customWidth="1"/>
    <col min="7" max="7" width="6.5703125" style="1" customWidth="1"/>
    <col min="8" max="8" width="5.85546875" style="1" customWidth="1"/>
    <col min="9" max="10" width="12.85546875" style="1" customWidth="1"/>
    <col min="11" max="12" width="3.42578125" style="1" customWidth="1"/>
    <col min="13" max="13" width="6.5703125" style="1" customWidth="1"/>
    <col min="14" max="14" width="5.85546875" style="1" customWidth="1"/>
    <col min="15" max="16" width="12.85546875" style="1" customWidth="1"/>
    <col min="17" max="18" width="3.42578125" style="1" customWidth="1"/>
    <col min="19" max="19" width="6.5703125" style="1" customWidth="1"/>
    <col min="20" max="20" width="5.85546875" style="1" customWidth="1"/>
    <col min="21" max="22" width="12.85546875" style="1" customWidth="1"/>
    <col min="23" max="24" width="3.42578125" style="1" customWidth="1"/>
    <col min="25" max="25" width="6.5703125" style="1" customWidth="1"/>
    <col min="26" max="26" width="5.85546875" style="1" customWidth="1"/>
    <col min="27" max="28" width="12.85546875" style="1" customWidth="1"/>
    <col min="29" max="30" width="3.42578125" style="1" customWidth="1"/>
    <col min="31" max="31" width="6.5703125" style="1" customWidth="1"/>
    <col min="32" max="32" width="5.85546875" style="1" customWidth="1"/>
    <col min="33" max="34" width="12.85546875" style="1" customWidth="1"/>
    <col min="35" max="36" width="3.42578125" style="1" customWidth="1"/>
    <col min="37" max="39" width="5.85546875" style="1" customWidth="1"/>
    <col min="40" max="16384" width="11.5703125" style="1"/>
  </cols>
  <sheetData>
    <row r="1" spans="1:36" ht="24.95" customHeight="1" x14ac:dyDescent="0.35">
      <c r="A1" s="447"/>
      <c r="B1" s="735" t="s">
        <v>345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820"/>
      <c r="AH1" s="691"/>
      <c r="AI1" s="691"/>
      <c r="AJ1" s="692"/>
    </row>
    <row r="2" spans="1:36" ht="24.95" customHeight="1" x14ac:dyDescent="0.25">
      <c r="A2" s="19"/>
      <c r="B2" s="448" t="s">
        <v>335</v>
      </c>
      <c r="C2" s="104"/>
      <c r="D2" s="104"/>
      <c r="E2" s="104"/>
      <c r="F2" s="104"/>
      <c r="G2" s="310"/>
      <c r="H2" s="104"/>
      <c r="I2" s="104"/>
      <c r="J2" s="104"/>
      <c r="K2" s="104"/>
      <c r="L2" s="104"/>
      <c r="M2" s="104"/>
      <c r="N2" s="104"/>
      <c r="O2" s="104"/>
      <c r="P2" s="218"/>
      <c r="Q2" s="2"/>
      <c r="R2" s="2"/>
      <c r="S2" s="2"/>
      <c r="T2" s="2"/>
      <c r="U2" s="2"/>
      <c r="V2" s="200"/>
      <c r="W2" s="200"/>
      <c r="X2" s="200"/>
      <c r="Y2" s="104"/>
      <c r="Z2" s="104"/>
      <c r="AA2" s="104"/>
      <c r="AB2" s="218"/>
      <c r="AC2" s="2"/>
      <c r="AD2" s="2"/>
      <c r="AE2" s="2"/>
      <c r="AF2" s="2"/>
      <c r="AG2" s="21"/>
      <c r="AH2" s="694"/>
      <c r="AI2" s="694"/>
      <c r="AJ2" s="695"/>
    </row>
    <row r="3" spans="1:36" ht="24.95" customHeight="1" thickBot="1" x14ac:dyDescent="0.3">
      <c r="A3" s="19"/>
      <c r="B3" s="737" t="s">
        <v>255</v>
      </c>
      <c r="C3" s="737"/>
      <c r="D3" s="737"/>
      <c r="E3" s="737"/>
      <c r="F3" s="737"/>
      <c r="G3" s="737"/>
      <c r="H3" s="737"/>
      <c r="I3" s="737"/>
      <c r="J3" s="737"/>
      <c r="K3" s="104"/>
      <c r="L3" s="104"/>
      <c r="M3" s="104"/>
      <c r="N3" s="104"/>
      <c r="O3" s="104"/>
      <c r="P3" s="2"/>
      <c r="Q3" s="2"/>
      <c r="R3" s="2"/>
      <c r="S3" s="2"/>
      <c r="T3" s="2"/>
      <c r="U3" s="2"/>
      <c r="V3" s="200"/>
      <c r="W3" s="200"/>
      <c r="X3" s="200"/>
      <c r="Y3" s="104"/>
      <c r="Z3" s="104"/>
      <c r="AA3" s="104"/>
      <c r="AB3" s="2"/>
      <c r="AC3" s="2"/>
      <c r="AD3" s="2"/>
      <c r="AE3" s="2"/>
      <c r="AF3" s="2"/>
      <c r="AG3" s="21"/>
      <c r="AH3" s="694"/>
      <c r="AI3" s="694"/>
      <c r="AJ3" s="695"/>
    </row>
    <row r="4" spans="1:36" ht="24.95" customHeight="1" thickBot="1" x14ac:dyDescent="0.3">
      <c r="A4" s="19"/>
      <c r="B4" s="104" t="s">
        <v>52</v>
      </c>
      <c r="C4" s="311"/>
      <c r="D4" s="311"/>
      <c r="E4" s="311"/>
      <c r="F4" s="738">
        <v>0.41666666666666669</v>
      </c>
      <c r="G4" s="739"/>
      <c r="H4" s="740"/>
      <c r="I4" s="433"/>
      <c r="J4" s="741" t="s">
        <v>54</v>
      </c>
      <c r="K4" s="741"/>
      <c r="L4" s="741"/>
      <c r="M4" s="742">
        <f>(3*K6)+(3*K33)</f>
        <v>0.05</v>
      </c>
      <c r="N4" s="742"/>
      <c r="O4" s="264" t="s">
        <v>33</v>
      </c>
      <c r="P4" s="319"/>
      <c r="Q4" s="200"/>
      <c r="R4" s="200"/>
      <c r="S4" s="200"/>
      <c r="T4" s="200"/>
      <c r="U4" s="200"/>
      <c r="V4" s="200"/>
      <c r="W4" s="200"/>
      <c r="X4" s="200"/>
      <c r="Y4" s="475"/>
      <c r="Z4" s="475"/>
      <c r="AA4" s="264"/>
      <c r="AB4" s="319"/>
      <c r="AC4" s="200"/>
      <c r="AD4" s="200"/>
      <c r="AE4" s="200"/>
      <c r="AF4" s="200"/>
      <c r="AG4" s="201"/>
      <c r="AH4" s="694"/>
      <c r="AI4" s="694"/>
      <c r="AJ4" s="695"/>
    </row>
    <row r="5" spans="1:36" ht="24.95" customHeight="1" thickBot="1" x14ac:dyDescent="0.3">
      <c r="A5" s="449"/>
      <c r="B5" s="215" t="s">
        <v>32</v>
      </c>
      <c r="C5" s="215"/>
      <c r="D5" s="215"/>
      <c r="E5" s="215"/>
      <c r="F5" s="810">
        <f>AF50-B14+K33+S5</f>
        <v>0.25208333333333299</v>
      </c>
      <c r="G5" s="810"/>
      <c r="H5" s="810"/>
      <c r="I5" s="215"/>
      <c r="J5" s="216" t="s">
        <v>79</v>
      </c>
      <c r="K5" s="216"/>
      <c r="L5" s="216"/>
      <c r="M5" s="687">
        <v>4.3055555555555562E-2</v>
      </c>
      <c r="N5" s="688"/>
      <c r="O5" s="215"/>
      <c r="P5" s="216" t="s">
        <v>242</v>
      </c>
      <c r="Q5" s="216"/>
      <c r="R5" s="216"/>
      <c r="S5" s="687">
        <v>3.472222222222222E-3</v>
      </c>
      <c r="T5" s="688"/>
      <c r="U5" s="493"/>
      <c r="V5" s="494"/>
      <c r="W5" s="494"/>
      <c r="X5" s="494"/>
      <c r="Y5" s="495"/>
      <c r="Z5" s="495"/>
      <c r="AA5" s="215"/>
      <c r="AB5" s="216"/>
      <c r="AC5" s="216"/>
      <c r="AD5" s="216"/>
      <c r="AE5" s="495"/>
      <c r="AF5" s="495"/>
      <c r="AG5" s="320"/>
      <c r="AH5" s="694"/>
      <c r="AI5" s="694"/>
      <c r="AJ5" s="695"/>
    </row>
    <row r="6" spans="1:36" ht="16.5" thickBot="1" x14ac:dyDescent="0.3">
      <c r="A6" s="106"/>
      <c r="B6" s="685" t="s">
        <v>35</v>
      </c>
      <c r="C6" s="685"/>
      <c r="D6" s="685"/>
      <c r="E6" s="685"/>
      <c r="F6" s="685"/>
      <c r="G6" s="685"/>
      <c r="H6" s="685"/>
      <c r="I6" s="685"/>
      <c r="J6" s="432" t="s">
        <v>18</v>
      </c>
      <c r="K6" s="782">
        <v>8.3333333333333332E-3</v>
      </c>
      <c r="L6" s="782"/>
      <c r="M6" s="782"/>
      <c r="N6" s="434" t="s">
        <v>17</v>
      </c>
      <c r="O6" s="432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5"/>
    </row>
    <row r="7" spans="1:36" x14ac:dyDescent="0.25">
      <c r="A7" s="19"/>
      <c r="B7" s="6"/>
      <c r="C7" s="744" t="s">
        <v>41</v>
      </c>
      <c r="D7" s="745"/>
      <c r="E7" s="744" t="s">
        <v>15</v>
      </c>
      <c r="F7" s="746"/>
      <c r="G7" s="102"/>
      <c r="H7" s="7"/>
      <c r="I7" s="747" t="s">
        <v>42</v>
      </c>
      <c r="J7" s="748"/>
      <c r="K7" s="747" t="s">
        <v>15</v>
      </c>
      <c r="L7" s="749"/>
      <c r="M7" s="76"/>
      <c r="N7" s="8"/>
      <c r="O7" s="804" t="s">
        <v>43</v>
      </c>
      <c r="P7" s="805"/>
      <c r="Q7" s="804" t="s">
        <v>15</v>
      </c>
      <c r="R7" s="806"/>
      <c r="S7" s="2"/>
      <c r="T7" s="6"/>
      <c r="U7" s="744" t="s">
        <v>55</v>
      </c>
      <c r="V7" s="745"/>
      <c r="W7" s="744" t="s">
        <v>15</v>
      </c>
      <c r="X7" s="746"/>
      <c r="Y7" s="76"/>
      <c r="Z7" s="7"/>
      <c r="AA7" s="747" t="s">
        <v>91</v>
      </c>
      <c r="AB7" s="748"/>
      <c r="AC7" s="747" t="s">
        <v>15</v>
      </c>
      <c r="AD7" s="749"/>
      <c r="AE7" s="2"/>
      <c r="AF7" s="8"/>
      <c r="AG7" s="804" t="s">
        <v>92</v>
      </c>
      <c r="AH7" s="805"/>
      <c r="AI7" s="804" t="s">
        <v>15</v>
      </c>
      <c r="AJ7" s="806"/>
    </row>
    <row r="8" spans="1:36" x14ac:dyDescent="0.25">
      <c r="A8" s="19"/>
      <c r="B8" s="10">
        <v>1</v>
      </c>
      <c r="C8" s="731" t="s">
        <v>22</v>
      </c>
      <c r="D8" s="732"/>
      <c r="E8" s="725">
        <f>B74+B78+B82+D63/1000000</f>
        <v>0</v>
      </c>
      <c r="F8" s="726"/>
      <c r="G8" s="103"/>
      <c r="H8" s="11">
        <v>1</v>
      </c>
      <c r="I8" s="727" t="s">
        <v>26</v>
      </c>
      <c r="J8" s="728"/>
      <c r="K8" s="729">
        <f>H74+H78+H82+J63/1000000</f>
        <v>0</v>
      </c>
      <c r="L8" s="730"/>
      <c r="M8" s="76"/>
      <c r="N8" s="12">
        <v>1</v>
      </c>
      <c r="O8" s="800" t="s">
        <v>37</v>
      </c>
      <c r="P8" s="801"/>
      <c r="Q8" s="802">
        <f>N74+N78+N82+P63/1000000</f>
        <v>0</v>
      </c>
      <c r="R8" s="803"/>
      <c r="S8" s="2"/>
      <c r="T8" s="10">
        <v>1</v>
      </c>
      <c r="U8" s="731" t="s">
        <v>56</v>
      </c>
      <c r="V8" s="732"/>
      <c r="W8" s="725">
        <f>T74+T78+T82+V63/1000000</f>
        <v>0</v>
      </c>
      <c r="X8" s="726"/>
      <c r="Y8" s="76"/>
      <c r="Z8" s="11">
        <v>1</v>
      </c>
      <c r="AA8" s="727" t="s">
        <v>93</v>
      </c>
      <c r="AB8" s="728"/>
      <c r="AC8" s="729">
        <f>Z74+Z78+Z82+AB63/1000000</f>
        <v>0</v>
      </c>
      <c r="AD8" s="730"/>
      <c r="AE8" s="2"/>
      <c r="AF8" s="12">
        <v>1</v>
      </c>
      <c r="AG8" s="800" t="s">
        <v>97</v>
      </c>
      <c r="AH8" s="801"/>
      <c r="AI8" s="802">
        <f>AF74+AF78+AF82+AH63/1000000</f>
        <v>0</v>
      </c>
      <c r="AJ8" s="803"/>
    </row>
    <row r="9" spans="1:36" x14ac:dyDescent="0.25">
      <c r="A9" s="19"/>
      <c r="B9" s="10">
        <v>2</v>
      </c>
      <c r="C9" s="731" t="s">
        <v>23</v>
      </c>
      <c r="D9" s="732"/>
      <c r="E9" s="725">
        <f>C74+B79+B83+D64/1000000</f>
        <v>0</v>
      </c>
      <c r="F9" s="726"/>
      <c r="G9" s="103"/>
      <c r="H9" s="11">
        <v>2</v>
      </c>
      <c r="I9" s="727" t="s">
        <v>27</v>
      </c>
      <c r="J9" s="728"/>
      <c r="K9" s="729">
        <f>I74+H79+H83+J64/1000000</f>
        <v>0</v>
      </c>
      <c r="L9" s="730"/>
      <c r="M9" s="76"/>
      <c r="N9" s="12">
        <v>2</v>
      </c>
      <c r="O9" s="800" t="s">
        <v>38</v>
      </c>
      <c r="P9" s="801"/>
      <c r="Q9" s="802">
        <f>O74+N79+N83+P64/1000000</f>
        <v>0</v>
      </c>
      <c r="R9" s="803"/>
      <c r="S9" s="2"/>
      <c r="T9" s="10">
        <v>2</v>
      </c>
      <c r="U9" s="731" t="s">
        <v>57</v>
      </c>
      <c r="V9" s="732"/>
      <c r="W9" s="725">
        <f>U74+T79+T83+V64/1000000</f>
        <v>0</v>
      </c>
      <c r="X9" s="726"/>
      <c r="Y9" s="76"/>
      <c r="Z9" s="11">
        <v>2</v>
      </c>
      <c r="AA9" s="727" t="s">
        <v>94</v>
      </c>
      <c r="AB9" s="728"/>
      <c r="AC9" s="729">
        <f>AA74+Z79+Z83+AB64/1000000</f>
        <v>0</v>
      </c>
      <c r="AD9" s="730"/>
      <c r="AE9" s="2"/>
      <c r="AF9" s="12">
        <v>2</v>
      </c>
      <c r="AG9" s="800" t="s">
        <v>98</v>
      </c>
      <c r="AH9" s="801"/>
      <c r="AI9" s="802">
        <f>AG74+AF79+AF83+AH64/1000000</f>
        <v>0</v>
      </c>
      <c r="AJ9" s="803"/>
    </row>
    <row r="10" spans="1:36" x14ac:dyDescent="0.25">
      <c r="A10" s="19"/>
      <c r="B10" s="10">
        <v>3</v>
      </c>
      <c r="C10" s="731" t="s">
        <v>24</v>
      </c>
      <c r="D10" s="732"/>
      <c r="E10" s="725">
        <f>B75+C78+C83+D65/1000000</f>
        <v>0</v>
      </c>
      <c r="F10" s="726"/>
      <c r="G10" s="103"/>
      <c r="H10" s="11">
        <v>3</v>
      </c>
      <c r="I10" s="727" t="s">
        <v>28</v>
      </c>
      <c r="J10" s="728"/>
      <c r="K10" s="729">
        <f>H75+I78+I83+J65/1000000</f>
        <v>0</v>
      </c>
      <c r="L10" s="730"/>
      <c r="M10" s="76"/>
      <c r="N10" s="12">
        <v>3</v>
      </c>
      <c r="O10" s="800" t="s">
        <v>39</v>
      </c>
      <c r="P10" s="801"/>
      <c r="Q10" s="802">
        <f>N75+O78+O83+P65/1000000</f>
        <v>0</v>
      </c>
      <c r="R10" s="803"/>
      <c r="S10" s="2"/>
      <c r="T10" s="10">
        <v>3</v>
      </c>
      <c r="U10" s="731" t="s">
        <v>58</v>
      </c>
      <c r="V10" s="732"/>
      <c r="W10" s="725">
        <f>T75+U78+U83+V65/1000000</f>
        <v>0</v>
      </c>
      <c r="X10" s="726"/>
      <c r="Y10" s="76"/>
      <c r="Z10" s="11">
        <v>3</v>
      </c>
      <c r="AA10" s="727" t="s">
        <v>95</v>
      </c>
      <c r="AB10" s="728"/>
      <c r="AC10" s="729">
        <f>Z75+AA78+AA83+AB65/1000000</f>
        <v>0</v>
      </c>
      <c r="AD10" s="730"/>
      <c r="AE10" s="2"/>
      <c r="AF10" s="12">
        <v>3</v>
      </c>
      <c r="AG10" s="800" t="s">
        <v>99</v>
      </c>
      <c r="AH10" s="801"/>
      <c r="AI10" s="802">
        <f>AF75+AG78+AG83+AH65/1000000</f>
        <v>0</v>
      </c>
      <c r="AJ10" s="803"/>
    </row>
    <row r="11" spans="1:36" ht="15.75" thickBot="1" x14ac:dyDescent="0.3">
      <c r="A11" s="19"/>
      <c r="B11" s="15">
        <v>4</v>
      </c>
      <c r="C11" s="717" t="s">
        <v>25</v>
      </c>
      <c r="D11" s="718"/>
      <c r="E11" s="719">
        <f>C75+C79+C82+D66/1000000</f>
        <v>0</v>
      </c>
      <c r="F11" s="720"/>
      <c r="G11" s="103"/>
      <c r="H11" s="16">
        <v>4</v>
      </c>
      <c r="I11" s="721" t="s">
        <v>29</v>
      </c>
      <c r="J11" s="722"/>
      <c r="K11" s="723">
        <f>I75+I79+I82+J66/1000000</f>
        <v>0</v>
      </c>
      <c r="L11" s="724"/>
      <c r="M11" s="76"/>
      <c r="N11" s="17">
        <v>4</v>
      </c>
      <c r="O11" s="792" t="s">
        <v>40</v>
      </c>
      <c r="P11" s="793"/>
      <c r="Q11" s="794">
        <f>O75+O79+O82+P66/1000000</f>
        <v>0</v>
      </c>
      <c r="R11" s="795"/>
      <c r="S11" s="2"/>
      <c r="T11" s="15">
        <v>4</v>
      </c>
      <c r="U11" s="717" t="s">
        <v>59</v>
      </c>
      <c r="V11" s="718"/>
      <c r="W11" s="719">
        <f>U75+U79+U82+V66/1000000</f>
        <v>0</v>
      </c>
      <c r="X11" s="720"/>
      <c r="Y11" s="76"/>
      <c r="Z11" s="16">
        <v>4</v>
      </c>
      <c r="AA11" s="721" t="s">
        <v>96</v>
      </c>
      <c r="AB11" s="722"/>
      <c r="AC11" s="723">
        <f>AA75+AA79+AA82+AB66/1000000</f>
        <v>0</v>
      </c>
      <c r="AD11" s="724"/>
      <c r="AE11" s="2"/>
      <c r="AF11" s="17">
        <v>4</v>
      </c>
      <c r="AG11" s="792" t="s">
        <v>100</v>
      </c>
      <c r="AH11" s="793"/>
      <c r="AI11" s="794">
        <f>AG75+AG79+AG82+AH66/1000000</f>
        <v>0</v>
      </c>
      <c r="AJ11" s="795"/>
    </row>
    <row r="12" spans="1:36" ht="5.0999999999999996" customHeight="1" thickBot="1" x14ac:dyDescent="0.3">
      <c r="A12" s="19"/>
      <c r="B12" s="2"/>
      <c r="C12" s="2"/>
      <c r="D12" s="2"/>
      <c r="E12" s="2"/>
      <c r="F12" s="2"/>
      <c r="G12" s="2"/>
      <c r="H12" s="2"/>
      <c r="I12" s="2"/>
      <c r="J12" s="22"/>
      <c r="K12" s="2"/>
      <c r="L12" s="2"/>
      <c r="M12" s="85"/>
      <c r="N12" s="2"/>
      <c r="O12" s="2"/>
      <c r="P12" s="2"/>
      <c r="Q12" s="2"/>
      <c r="R12" s="2"/>
      <c r="S12" s="2"/>
      <c r="T12" s="19"/>
      <c r="U12" s="2"/>
      <c r="V12" s="2"/>
      <c r="W12" s="2"/>
      <c r="X12" s="2"/>
      <c r="Y12" s="85"/>
      <c r="Z12" s="2"/>
      <c r="AA12" s="2"/>
      <c r="AB12" s="22"/>
      <c r="AC12" s="2"/>
      <c r="AD12" s="2"/>
      <c r="AE12" s="2"/>
      <c r="AF12" s="2"/>
      <c r="AG12" s="2"/>
      <c r="AH12" s="2"/>
      <c r="AI12" s="2"/>
      <c r="AJ12" s="21"/>
    </row>
    <row r="13" spans="1:36" s="29" customFormat="1" x14ac:dyDescent="0.25">
      <c r="A13" s="364" t="s">
        <v>253</v>
      </c>
      <c r="B13" s="24"/>
      <c r="C13" s="713" t="s">
        <v>5</v>
      </c>
      <c r="D13" s="713"/>
      <c r="E13" s="713" t="s">
        <v>16</v>
      </c>
      <c r="F13" s="714"/>
      <c r="G13" s="454" t="s">
        <v>253</v>
      </c>
      <c r="H13" s="26"/>
      <c r="I13" s="715" t="s">
        <v>5</v>
      </c>
      <c r="J13" s="715"/>
      <c r="K13" s="715" t="s">
        <v>16</v>
      </c>
      <c r="L13" s="716"/>
      <c r="M13" s="456" t="s">
        <v>253</v>
      </c>
      <c r="N13" s="27"/>
      <c r="O13" s="786" t="s">
        <v>5</v>
      </c>
      <c r="P13" s="786"/>
      <c r="Q13" s="786" t="s">
        <v>16</v>
      </c>
      <c r="R13" s="787"/>
      <c r="S13" s="364" t="s">
        <v>253</v>
      </c>
      <c r="T13" s="24"/>
      <c r="U13" s="713" t="s">
        <v>5</v>
      </c>
      <c r="V13" s="713"/>
      <c r="W13" s="713" t="s">
        <v>16</v>
      </c>
      <c r="X13" s="714"/>
      <c r="Y13" s="454" t="s">
        <v>253</v>
      </c>
      <c r="Z13" s="26"/>
      <c r="AA13" s="715" t="s">
        <v>5</v>
      </c>
      <c r="AB13" s="715"/>
      <c r="AC13" s="715" t="s">
        <v>16</v>
      </c>
      <c r="AD13" s="716"/>
      <c r="AE13" s="456" t="s">
        <v>253</v>
      </c>
      <c r="AF13" s="27"/>
      <c r="AG13" s="786" t="s">
        <v>5</v>
      </c>
      <c r="AH13" s="786"/>
      <c r="AI13" s="786" t="s">
        <v>16</v>
      </c>
      <c r="AJ13" s="787"/>
    </row>
    <row r="14" spans="1:36" x14ac:dyDescent="0.25">
      <c r="A14" s="479">
        <v>1</v>
      </c>
      <c r="B14" s="30">
        <f>F4</f>
        <v>0.41666666666666669</v>
      </c>
      <c r="C14" s="31" t="str">
        <f>C8</f>
        <v>Equipe 1</v>
      </c>
      <c r="D14" s="31" t="str">
        <f>C9</f>
        <v>Equipe 2</v>
      </c>
      <c r="E14" s="53"/>
      <c r="F14" s="54"/>
      <c r="G14" s="459">
        <v>3</v>
      </c>
      <c r="H14" s="32">
        <f>B14</f>
        <v>0.41666666666666669</v>
      </c>
      <c r="I14" s="33" t="str">
        <f>I8</f>
        <v>Equipe 5</v>
      </c>
      <c r="J14" s="33" t="str">
        <f>I9</f>
        <v>Equipe 6</v>
      </c>
      <c r="K14" s="57"/>
      <c r="L14" s="58"/>
      <c r="M14" s="462">
        <v>1</v>
      </c>
      <c r="N14" s="34">
        <f>H15+K6+S5</f>
        <v>0.42847222222222225</v>
      </c>
      <c r="O14" s="35" t="str">
        <f>O8</f>
        <v>Equipe 9</v>
      </c>
      <c r="P14" s="35" t="str">
        <f>O9</f>
        <v>Equipe 10</v>
      </c>
      <c r="Q14" s="61"/>
      <c r="R14" s="62"/>
      <c r="S14" s="479">
        <v>3</v>
      </c>
      <c r="T14" s="30">
        <f>N14</f>
        <v>0.42847222222222225</v>
      </c>
      <c r="U14" s="31" t="str">
        <f>U8</f>
        <v>Equipe 13</v>
      </c>
      <c r="V14" s="31" t="str">
        <f>U9</f>
        <v>Equipe 14</v>
      </c>
      <c r="W14" s="53"/>
      <c r="X14" s="54"/>
      <c r="Y14" s="459">
        <v>1</v>
      </c>
      <c r="Z14" s="32">
        <f>T15+K6+S5</f>
        <v>0.44027777777777782</v>
      </c>
      <c r="AA14" s="33" t="str">
        <f>AA8</f>
        <v>Equipe 17</v>
      </c>
      <c r="AB14" s="33" t="str">
        <f>AA9</f>
        <v>Equipe 18</v>
      </c>
      <c r="AC14" s="57"/>
      <c r="AD14" s="58"/>
      <c r="AE14" s="462">
        <v>3</v>
      </c>
      <c r="AF14" s="34">
        <f>Z14</f>
        <v>0.44027777777777782</v>
      </c>
      <c r="AG14" s="35" t="str">
        <f>AG8</f>
        <v>Equipe 21</v>
      </c>
      <c r="AH14" s="35" t="str">
        <f>AG9</f>
        <v>Equipe 22</v>
      </c>
      <c r="AI14" s="61"/>
      <c r="AJ14" s="62"/>
    </row>
    <row r="15" spans="1:36" ht="15.75" thickBot="1" x14ac:dyDescent="0.3">
      <c r="A15" s="480">
        <v>2</v>
      </c>
      <c r="B15" s="38">
        <f>B14</f>
        <v>0.41666666666666669</v>
      </c>
      <c r="C15" s="39" t="str">
        <f>C10</f>
        <v>Equipe 3</v>
      </c>
      <c r="D15" s="39" t="str">
        <f>C11</f>
        <v>Equipe 4</v>
      </c>
      <c r="E15" s="55"/>
      <c r="F15" s="56"/>
      <c r="G15" s="465">
        <v>4</v>
      </c>
      <c r="H15" s="40">
        <f>H14</f>
        <v>0.41666666666666669</v>
      </c>
      <c r="I15" s="41" t="str">
        <f>I10</f>
        <v>Equipe 7</v>
      </c>
      <c r="J15" s="41" t="str">
        <f>I11</f>
        <v>Equipe 8</v>
      </c>
      <c r="K15" s="59"/>
      <c r="L15" s="60"/>
      <c r="M15" s="467">
        <v>2</v>
      </c>
      <c r="N15" s="42">
        <f>N14</f>
        <v>0.42847222222222225</v>
      </c>
      <c r="O15" s="43" t="str">
        <f>O10</f>
        <v>Equipe 11</v>
      </c>
      <c r="P15" s="43" t="str">
        <f>O11</f>
        <v>Equipe 12</v>
      </c>
      <c r="Q15" s="63"/>
      <c r="R15" s="64"/>
      <c r="S15" s="480">
        <v>4</v>
      </c>
      <c r="T15" s="38">
        <f>N15</f>
        <v>0.42847222222222225</v>
      </c>
      <c r="U15" s="39" t="str">
        <f>U10</f>
        <v>Equipe 15</v>
      </c>
      <c r="V15" s="39" t="str">
        <f>U11</f>
        <v>Equipe 16</v>
      </c>
      <c r="W15" s="55"/>
      <c r="X15" s="56"/>
      <c r="Y15" s="465">
        <v>2</v>
      </c>
      <c r="Z15" s="40">
        <f>Z14</f>
        <v>0.44027777777777782</v>
      </c>
      <c r="AA15" s="41" t="str">
        <f>AA10</f>
        <v>Equipe 19</v>
      </c>
      <c r="AB15" s="41" t="str">
        <f>AA11</f>
        <v>Equipe 20</v>
      </c>
      <c r="AC15" s="59"/>
      <c r="AD15" s="60"/>
      <c r="AE15" s="467">
        <v>4</v>
      </c>
      <c r="AF15" s="42">
        <f>AF14</f>
        <v>0.44027777777777782</v>
      </c>
      <c r="AG15" s="43" t="str">
        <f>AG10</f>
        <v>Equipe 23</v>
      </c>
      <c r="AH15" s="43" t="str">
        <f>AG11</f>
        <v>Equipe 24</v>
      </c>
      <c r="AI15" s="63"/>
      <c r="AJ15" s="64"/>
    </row>
    <row r="16" spans="1:36" ht="5.0999999999999996" customHeight="1" thickBot="1" x14ac:dyDescent="0.3">
      <c r="A16" s="19"/>
      <c r="B16" s="2"/>
      <c r="C16" s="2"/>
      <c r="D16" s="2"/>
      <c r="E16" s="411"/>
      <c r="F16" s="411"/>
      <c r="G16" s="2"/>
      <c r="H16" s="2"/>
      <c r="I16" s="2"/>
      <c r="J16" s="47"/>
      <c r="K16" s="411"/>
      <c r="L16" s="411"/>
      <c r="M16" s="85"/>
      <c r="N16" s="2"/>
      <c r="O16" s="2"/>
      <c r="P16" s="2"/>
      <c r="Q16" s="411"/>
      <c r="R16" s="411"/>
      <c r="S16" s="19"/>
      <c r="T16" s="19"/>
      <c r="U16" s="2"/>
      <c r="V16" s="2"/>
      <c r="W16" s="411"/>
      <c r="X16" s="411"/>
      <c r="Y16" s="2"/>
      <c r="Z16" s="2"/>
      <c r="AA16" s="2"/>
      <c r="AB16" s="47"/>
      <c r="AC16" s="411"/>
      <c r="AD16" s="411"/>
      <c r="AE16" s="85"/>
      <c r="AF16" s="2"/>
      <c r="AG16" s="2"/>
      <c r="AH16" s="2"/>
      <c r="AI16" s="411"/>
      <c r="AJ16" s="412"/>
    </row>
    <row r="17" spans="1:36" s="29" customFormat="1" x14ac:dyDescent="0.25">
      <c r="A17" s="364" t="s">
        <v>253</v>
      </c>
      <c r="B17" s="24"/>
      <c r="C17" s="713" t="s">
        <v>6</v>
      </c>
      <c r="D17" s="713"/>
      <c r="E17" s="713" t="s">
        <v>16</v>
      </c>
      <c r="F17" s="714"/>
      <c r="G17" s="454" t="s">
        <v>253</v>
      </c>
      <c r="H17" s="26"/>
      <c r="I17" s="715" t="s">
        <v>6</v>
      </c>
      <c r="J17" s="715"/>
      <c r="K17" s="715" t="s">
        <v>16</v>
      </c>
      <c r="L17" s="716"/>
      <c r="M17" s="456" t="s">
        <v>253</v>
      </c>
      <c r="N17" s="27"/>
      <c r="O17" s="786" t="s">
        <v>6</v>
      </c>
      <c r="P17" s="786"/>
      <c r="Q17" s="786" t="s">
        <v>16</v>
      </c>
      <c r="R17" s="787"/>
      <c r="S17" s="364" t="s">
        <v>253</v>
      </c>
      <c r="T17" s="24"/>
      <c r="U17" s="713" t="s">
        <v>6</v>
      </c>
      <c r="V17" s="713"/>
      <c r="W17" s="713" t="s">
        <v>16</v>
      </c>
      <c r="X17" s="714"/>
      <c r="Y17" s="454" t="s">
        <v>253</v>
      </c>
      <c r="Z17" s="26"/>
      <c r="AA17" s="715" t="s">
        <v>6</v>
      </c>
      <c r="AB17" s="715"/>
      <c r="AC17" s="715" t="s">
        <v>16</v>
      </c>
      <c r="AD17" s="716"/>
      <c r="AE17" s="456" t="s">
        <v>253</v>
      </c>
      <c r="AF17" s="27"/>
      <c r="AG17" s="786" t="s">
        <v>6</v>
      </c>
      <c r="AH17" s="786"/>
      <c r="AI17" s="786" t="s">
        <v>16</v>
      </c>
      <c r="AJ17" s="787"/>
    </row>
    <row r="18" spans="1:36" x14ac:dyDescent="0.25">
      <c r="A18" s="479">
        <v>1</v>
      </c>
      <c r="B18" s="30">
        <f>AF15+K6+S5</f>
        <v>0.45208333333333339</v>
      </c>
      <c r="C18" s="31" t="str">
        <f>C8</f>
        <v>Equipe 1</v>
      </c>
      <c r="D18" s="31" t="str">
        <f>C10</f>
        <v>Equipe 3</v>
      </c>
      <c r="E18" s="53"/>
      <c r="F18" s="54"/>
      <c r="G18" s="459">
        <v>3</v>
      </c>
      <c r="H18" s="32">
        <f>B18</f>
        <v>0.45208333333333339</v>
      </c>
      <c r="I18" s="33" t="str">
        <f>I8</f>
        <v>Equipe 5</v>
      </c>
      <c r="J18" s="33" t="str">
        <f>I10</f>
        <v>Equipe 7</v>
      </c>
      <c r="K18" s="57"/>
      <c r="L18" s="58"/>
      <c r="M18" s="462">
        <v>1</v>
      </c>
      <c r="N18" s="34">
        <f>H19+K6+S5</f>
        <v>0.46388888888888896</v>
      </c>
      <c r="O18" s="35" t="str">
        <f>O8</f>
        <v>Equipe 9</v>
      </c>
      <c r="P18" s="35" t="str">
        <f>O10</f>
        <v>Equipe 11</v>
      </c>
      <c r="Q18" s="61"/>
      <c r="R18" s="62"/>
      <c r="S18" s="479">
        <v>3</v>
      </c>
      <c r="T18" s="30">
        <f>N18</f>
        <v>0.46388888888888896</v>
      </c>
      <c r="U18" s="31" t="str">
        <f>U8</f>
        <v>Equipe 13</v>
      </c>
      <c r="V18" s="31" t="str">
        <f>U10</f>
        <v>Equipe 15</v>
      </c>
      <c r="W18" s="53"/>
      <c r="X18" s="54"/>
      <c r="Y18" s="459">
        <v>1</v>
      </c>
      <c r="Z18" s="32">
        <f>T19+K6+S5</f>
        <v>0.47569444444444453</v>
      </c>
      <c r="AA18" s="33" t="str">
        <f>AA8</f>
        <v>Equipe 17</v>
      </c>
      <c r="AB18" s="33" t="str">
        <f>AA10</f>
        <v>Equipe 19</v>
      </c>
      <c r="AC18" s="57"/>
      <c r="AD18" s="58"/>
      <c r="AE18" s="462">
        <v>3</v>
      </c>
      <c r="AF18" s="34">
        <f>Z19</f>
        <v>0.47569444444444453</v>
      </c>
      <c r="AG18" s="35" t="str">
        <f>AG8</f>
        <v>Equipe 21</v>
      </c>
      <c r="AH18" s="35" t="str">
        <f>AG10</f>
        <v>Equipe 23</v>
      </c>
      <c r="AI18" s="61"/>
      <c r="AJ18" s="62"/>
    </row>
    <row r="19" spans="1:36" ht="15.75" thickBot="1" x14ac:dyDescent="0.3">
      <c r="A19" s="480">
        <v>2</v>
      </c>
      <c r="B19" s="38">
        <f>B18</f>
        <v>0.45208333333333339</v>
      </c>
      <c r="C19" s="39" t="str">
        <f>C9</f>
        <v>Equipe 2</v>
      </c>
      <c r="D19" s="39" t="str">
        <f>C11</f>
        <v>Equipe 4</v>
      </c>
      <c r="E19" s="55"/>
      <c r="F19" s="56"/>
      <c r="G19" s="470">
        <v>4</v>
      </c>
      <c r="H19" s="40">
        <f>B18</f>
        <v>0.45208333333333339</v>
      </c>
      <c r="I19" s="41" t="str">
        <f>I9</f>
        <v>Equipe 6</v>
      </c>
      <c r="J19" s="41" t="str">
        <f>I11</f>
        <v>Equipe 8</v>
      </c>
      <c r="K19" s="59"/>
      <c r="L19" s="60"/>
      <c r="M19" s="467">
        <v>2</v>
      </c>
      <c r="N19" s="42">
        <f>N18</f>
        <v>0.46388888888888896</v>
      </c>
      <c r="O19" s="43" t="str">
        <f>O9</f>
        <v>Equipe 10</v>
      </c>
      <c r="P19" s="43" t="str">
        <f>O11</f>
        <v>Equipe 12</v>
      </c>
      <c r="Q19" s="63"/>
      <c r="R19" s="64"/>
      <c r="S19" s="480">
        <v>4</v>
      </c>
      <c r="T19" s="38">
        <f>T18</f>
        <v>0.46388888888888896</v>
      </c>
      <c r="U19" s="39" t="str">
        <f>U9</f>
        <v>Equipe 14</v>
      </c>
      <c r="V19" s="39" t="str">
        <f>U11</f>
        <v>Equipe 16</v>
      </c>
      <c r="W19" s="55"/>
      <c r="X19" s="56"/>
      <c r="Y19" s="470">
        <v>2</v>
      </c>
      <c r="Z19" s="40">
        <f>Z18</f>
        <v>0.47569444444444453</v>
      </c>
      <c r="AA19" s="41" t="str">
        <f>AA9</f>
        <v>Equipe 18</v>
      </c>
      <c r="AB19" s="41" t="str">
        <f>AA11</f>
        <v>Equipe 20</v>
      </c>
      <c r="AC19" s="59"/>
      <c r="AD19" s="60"/>
      <c r="AE19" s="467">
        <v>4</v>
      </c>
      <c r="AF19" s="42">
        <f>Z19</f>
        <v>0.47569444444444453</v>
      </c>
      <c r="AG19" s="43" t="str">
        <f>AG9</f>
        <v>Equipe 22</v>
      </c>
      <c r="AH19" s="43" t="str">
        <f>AG11</f>
        <v>Equipe 24</v>
      </c>
      <c r="AI19" s="63"/>
      <c r="AJ19" s="64"/>
    </row>
    <row r="20" spans="1:36" ht="5.0999999999999996" customHeight="1" thickBot="1" x14ac:dyDescent="0.3">
      <c r="A20" s="19"/>
      <c r="B20" s="2"/>
      <c r="C20" s="2"/>
      <c r="D20" s="2"/>
      <c r="E20" s="411"/>
      <c r="F20" s="411"/>
      <c r="G20" s="471"/>
      <c r="H20" s="2"/>
      <c r="I20" s="2"/>
      <c r="J20" s="47"/>
      <c r="K20" s="411"/>
      <c r="L20" s="411"/>
      <c r="M20" s="85"/>
      <c r="N20" s="2"/>
      <c r="O20" s="2"/>
      <c r="P20" s="2"/>
      <c r="Q20" s="411"/>
      <c r="R20" s="411"/>
      <c r="S20" s="19"/>
      <c r="T20" s="19"/>
      <c r="U20" s="2"/>
      <c r="V20" s="2"/>
      <c r="W20" s="411"/>
      <c r="X20" s="411"/>
      <c r="Y20" s="471"/>
      <c r="Z20" s="2"/>
      <c r="AA20" s="2"/>
      <c r="AB20" s="47"/>
      <c r="AC20" s="411"/>
      <c r="AD20" s="411"/>
      <c r="AE20" s="85"/>
      <c r="AF20" s="2"/>
      <c r="AG20" s="2"/>
      <c r="AH20" s="2"/>
      <c r="AI20" s="411"/>
      <c r="AJ20" s="412"/>
    </row>
    <row r="21" spans="1:36" s="29" customFormat="1" x14ac:dyDescent="0.25">
      <c r="A21" s="364" t="s">
        <v>253</v>
      </c>
      <c r="B21" s="24"/>
      <c r="C21" s="713" t="s">
        <v>7</v>
      </c>
      <c r="D21" s="713"/>
      <c r="E21" s="713" t="s">
        <v>16</v>
      </c>
      <c r="F21" s="714"/>
      <c r="G21" s="454" t="s">
        <v>253</v>
      </c>
      <c r="H21" s="26"/>
      <c r="I21" s="715" t="s">
        <v>7</v>
      </c>
      <c r="J21" s="715"/>
      <c r="K21" s="715" t="s">
        <v>16</v>
      </c>
      <c r="L21" s="716"/>
      <c r="M21" s="456" t="s">
        <v>253</v>
      </c>
      <c r="N21" s="27"/>
      <c r="O21" s="786" t="s">
        <v>7</v>
      </c>
      <c r="P21" s="786"/>
      <c r="Q21" s="786" t="s">
        <v>16</v>
      </c>
      <c r="R21" s="787"/>
      <c r="S21" s="364" t="s">
        <v>253</v>
      </c>
      <c r="T21" s="24"/>
      <c r="U21" s="713" t="s">
        <v>7</v>
      </c>
      <c r="V21" s="713"/>
      <c r="W21" s="713" t="s">
        <v>16</v>
      </c>
      <c r="X21" s="714"/>
      <c r="Y21" s="454" t="s">
        <v>253</v>
      </c>
      <c r="Z21" s="26"/>
      <c r="AA21" s="715" t="s">
        <v>7</v>
      </c>
      <c r="AB21" s="715"/>
      <c r="AC21" s="715" t="s">
        <v>16</v>
      </c>
      <c r="AD21" s="716"/>
      <c r="AE21" s="456" t="s">
        <v>253</v>
      </c>
      <c r="AF21" s="27"/>
      <c r="AG21" s="786" t="s">
        <v>7</v>
      </c>
      <c r="AH21" s="786"/>
      <c r="AI21" s="786" t="s">
        <v>16</v>
      </c>
      <c r="AJ21" s="787"/>
    </row>
    <row r="22" spans="1:36" x14ac:dyDescent="0.25">
      <c r="A22" s="479">
        <v>1</v>
      </c>
      <c r="B22" s="30">
        <f>AF19+K6+S5</f>
        <v>0.4875000000000001</v>
      </c>
      <c r="C22" s="31" t="str">
        <f>C8</f>
        <v>Equipe 1</v>
      </c>
      <c r="D22" s="31" t="str">
        <f>C11</f>
        <v>Equipe 4</v>
      </c>
      <c r="E22" s="53"/>
      <c r="F22" s="54"/>
      <c r="G22" s="459">
        <v>3</v>
      </c>
      <c r="H22" s="32">
        <f>B22</f>
        <v>0.4875000000000001</v>
      </c>
      <c r="I22" s="33" t="str">
        <f>I8</f>
        <v>Equipe 5</v>
      </c>
      <c r="J22" s="33" t="str">
        <f>I11</f>
        <v>Equipe 8</v>
      </c>
      <c r="K22" s="57"/>
      <c r="L22" s="58"/>
      <c r="M22" s="462">
        <v>1</v>
      </c>
      <c r="N22" s="34">
        <f>H23+K6+S5</f>
        <v>0.49930555555555567</v>
      </c>
      <c r="O22" s="35" t="str">
        <f>O8</f>
        <v>Equipe 9</v>
      </c>
      <c r="P22" s="35" t="str">
        <f>O11</f>
        <v>Equipe 12</v>
      </c>
      <c r="Q22" s="61"/>
      <c r="R22" s="62"/>
      <c r="S22" s="479">
        <v>3</v>
      </c>
      <c r="T22" s="30">
        <f>N22</f>
        <v>0.49930555555555567</v>
      </c>
      <c r="U22" s="31" t="str">
        <f>U8</f>
        <v>Equipe 13</v>
      </c>
      <c r="V22" s="31" t="str">
        <f>U11</f>
        <v>Equipe 16</v>
      </c>
      <c r="W22" s="53"/>
      <c r="X22" s="54"/>
      <c r="Y22" s="459">
        <v>1</v>
      </c>
      <c r="Z22" s="32">
        <f>T23+K6+S5</f>
        <v>0.51111111111111118</v>
      </c>
      <c r="AA22" s="33" t="str">
        <f>AA8</f>
        <v>Equipe 17</v>
      </c>
      <c r="AB22" s="33" t="str">
        <f>AA11</f>
        <v>Equipe 20</v>
      </c>
      <c r="AC22" s="57"/>
      <c r="AD22" s="58"/>
      <c r="AE22" s="462">
        <v>3</v>
      </c>
      <c r="AF22" s="34">
        <f>Z22</f>
        <v>0.51111111111111118</v>
      </c>
      <c r="AG22" s="35" t="str">
        <f>AG8</f>
        <v>Equipe 21</v>
      </c>
      <c r="AH22" s="35" t="str">
        <f>AG11</f>
        <v>Equipe 24</v>
      </c>
      <c r="AI22" s="61"/>
      <c r="AJ22" s="62"/>
    </row>
    <row r="23" spans="1:36" ht="15.75" thickBot="1" x14ac:dyDescent="0.3">
      <c r="A23" s="480">
        <v>2</v>
      </c>
      <c r="B23" s="38">
        <f>B22</f>
        <v>0.4875000000000001</v>
      </c>
      <c r="C23" s="39" t="str">
        <f>C9</f>
        <v>Equipe 2</v>
      </c>
      <c r="D23" s="39" t="str">
        <f>C10</f>
        <v>Equipe 3</v>
      </c>
      <c r="E23" s="55"/>
      <c r="F23" s="56"/>
      <c r="G23" s="465">
        <v>4</v>
      </c>
      <c r="H23" s="40">
        <f>B22</f>
        <v>0.4875000000000001</v>
      </c>
      <c r="I23" s="41" t="str">
        <f>I9</f>
        <v>Equipe 6</v>
      </c>
      <c r="J23" s="41" t="str">
        <f>I10</f>
        <v>Equipe 7</v>
      </c>
      <c r="K23" s="59"/>
      <c r="L23" s="60"/>
      <c r="M23" s="467">
        <v>2</v>
      </c>
      <c r="N23" s="42">
        <f>N22</f>
        <v>0.49930555555555567</v>
      </c>
      <c r="O23" s="43" t="str">
        <f>O9</f>
        <v>Equipe 10</v>
      </c>
      <c r="P23" s="43" t="str">
        <f>O10</f>
        <v>Equipe 11</v>
      </c>
      <c r="Q23" s="63"/>
      <c r="R23" s="64"/>
      <c r="S23" s="480">
        <v>4</v>
      </c>
      <c r="T23" s="38">
        <f>N22</f>
        <v>0.49930555555555567</v>
      </c>
      <c r="U23" s="39" t="str">
        <f>U9</f>
        <v>Equipe 14</v>
      </c>
      <c r="V23" s="39" t="str">
        <f>U10</f>
        <v>Equipe 15</v>
      </c>
      <c r="W23" s="55"/>
      <c r="X23" s="56"/>
      <c r="Y23" s="465">
        <v>2</v>
      </c>
      <c r="Z23" s="40">
        <f>Z22</f>
        <v>0.51111111111111118</v>
      </c>
      <c r="AA23" s="41" t="str">
        <f>AA9</f>
        <v>Equipe 18</v>
      </c>
      <c r="AB23" s="41" t="str">
        <f>AA10</f>
        <v>Equipe 19</v>
      </c>
      <c r="AC23" s="59"/>
      <c r="AD23" s="60"/>
      <c r="AE23" s="467">
        <v>4</v>
      </c>
      <c r="AF23" s="42">
        <f>Z22</f>
        <v>0.51111111111111118</v>
      </c>
      <c r="AG23" s="43" t="str">
        <f>AG9</f>
        <v>Equipe 22</v>
      </c>
      <c r="AH23" s="43" t="str">
        <f>AG10</f>
        <v>Equipe 23</v>
      </c>
      <c r="AI23" s="63"/>
      <c r="AJ23" s="64"/>
    </row>
    <row r="24" spans="1:36" ht="5.0999999999999996" customHeight="1" thickBot="1" x14ac:dyDescent="0.3">
      <c r="A24" s="19"/>
      <c r="B24" s="120"/>
      <c r="C24" s="119"/>
      <c r="D24" s="119"/>
      <c r="E24" s="173"/>
      <c r="F24" s="173"/>
      <c r="G24" s="89"/>
      <c r="H24" s="120"/>
      <c r="I24" s="119"/>
      <c r="J24" s="119"/>
      <c r="K24" s="173"/>
      <c r="L24" s="173"/>
      <c r="M24" s="89"/>
      <c r="N24" s="120"/>
      <c r="O24" s="119"/>
      <c r="P24" s="119"/>
      <c r="Q24" s="173"/>
      <c r="R24" s="173"/>
      <c r="S24" s="89"/>
      <c r="T24" s="93"/>
      <c r="U24" s="428"/>
      <c r="V24" s="428"/>
      <c r="W24" s="116"/>
      <c r="X24" s="116"/>
      <c r="Y24" s="478"/>
      <c r="Z24" s="120"/>
      <c r="AA24" s="119"/>
      <c r="AB24" s="119"/>
      <c r="AC24" s="173"/>
      <c r="AD24" s="173"/>
      <c r="AE24" s="89"/>
      <c r="AF24" s="93"/>
      <c r="AG24" s="428"/>
      <c r="AH24" s="428"/>
      <c r="AI24" s="116"/>
      <c r="AJ24" s="117"/>
    </row>
    <row r="25" spans="1:36" ht="16.5" thickBot="1" x14ac:dyDescent="0.3">
      <c r="A25" s="19"/>
      <c r="B25" s="702" t="s">
        <v>60</v>
      </c>
      <c r="C25" s="673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4"/>
    </row>
    <row r="26" spans="1:36" x14ac:dyDescent="0.25">
      <c r="A26" s="19"/>
      <c r="B26" s="81" t="s">
        <v>21</v>
      </c>
      <c r="C26" s="711" t="s">
        <v>41</v>
      </c>
      <c r="D26" s="711"/>
      <c r="E26" s="711" t="s">
        <v>15</v>
      </c>
      <c r="F26" s="712"/>
      <c r="G26" s="122"/>
      <c r="H26" s="81" t="s">
        <v>21</v>
      </c>
      <c r="I26" s="711" t="s">
        <v>42</v>
      </c>
      <c r="J26" s="711"/>
      <c r="K26" s="711" t="s">
        <v>15</v>
      </c>
      <c r="L26" s="712"/>
      <c r="M26" s="75"/>
      <c r="N26" s="81" t="s">
        <v>21</v>
      </c>
      <c r="O26" s="711" t="s">
        <v>43</v>
      </c>
      <c r="P26" s="711"/>
      <c r="Q26" s="711" t="s">
        <v>15</v>
      </c>
      <c r="R26" s="712"/>
      <c r="S26" s="122"/>
      <c r="T26" s="81" t="s">
        <v>21</v>
      </c>
      <c r="U26" s="711" t="s">
        <v>55</v>
      </c>
      <c r="V26" s="711"/>
      <c r="W26" s="711" t="s">
        <v>15</v>
      </c>
      <c r="X26" s="712"/>
      <c r="Y26" s="75"/>
      <c r="Z26" s="81" t="s">
        <v>21</v>
      </c>
      <c r="AA26" s="711" t="s">
        <v>91</v>
      </c>
      <c r="AB26" s="711"/>
      <c r="AC26" s="711" t="s">
        <v>15</v>
      </c>
      <c r="AD26" s="712"/>
      <c r="AE26" s="122"/>
      <c r="AF26" s="81" t="s">
        <v>21</v>
      </c>
      <c r="AG26" s="711" t="s">
        <v>92</v>
      </c>
      <c r="AH26" s="711"/>
      <c r="AI26" s="711" t="s">
        <v>15</v>
      </c>
      <c r="AJ26" s="712"/>
    </row>
    <row r="27" spans="1:36" x14ac:dyDescent="0.25">
      <c r="A27" s="19"/>
      <c r="B27" s="49">
        <v>1</v>
      </c>
      <c r="C27" s="680" t="str">
        <f>VLOOKUP($B27,$B$63:$E$66,2,FALSE)</f>
        <v>Equipe 1</v>
      </c>
      <c r="D27" s="680"/>
      <c r="E27" s="683">
        <f>VLOOKUP($B27,$B$63:$E$66,4,FALSE)</f>
        <v>3.9999999999999998E-7</v>
      </c>
      <c r="F27" s="684"/>
      <c r="G27" s="105"/>
      <c r="H27" s="49">
        <v>1</v>
      </c>
      <c r="I27" s="680" t="str">
        <f>VLOOKUP($H27,$H$63:$K$66,2,FALSE)</f>
        <v>Equipe 5</v>
      </c>
      <c r="J27" s="680"/>
      <c r="K27" s="681">
        <f>VLOOKUP($H27,$H$63:$K$66,4,FALSE)</f>
        <v>3.9999999999999998E-7</v>
      </c>
      <c r="L27" s="682"/>
      <c r="M27" s="76"/>
      <c r="N27" s="49">
        <v>1</v>
      </c>
      <c r="O27" s="680" t="str">
        <f>VLOOKUP($N27,$N$63:$Q$66,2,FALSE)</f>
        <v>Equipe 9</v>
      </c>
      <c r="P27" s="680"/>
      <c r="Q27" s="681">
        <f>VLOOKUP($N27,$N$63:$Q$66,4,FALSE)</f>
        <v>3.9999999999999998E-7</v>
      </c>
      <c r="R27" s="682"/>
      <c r="S27" s="105"/>
      <c r="T27" s="49">
        <v>1</v>
      </c>
      <c r="U27" s="680" t="str">
        <f>VLOOKUP($T27,$T$63:$W$66,2,FALSE)</f>
        <v>Equipe 13</v>
      </c>
      <c r="V27" s="680"/>
      <c r="W27" s="681">
        <f>VLOOKUP($T27,$T$63:$W$66,4,FALSE)</f>
        <v>3.9999999999999998E-7</v>
      </c>
      <c r="X27" s="682"/>
      <c r="Y27" s="76"/>
      <c r="Z27" s="49">
        <v>1</v>
      </c>
      <c r="AA27" s="824" t="str">
        <f>VLOOKUP($Z27,$Z$63:$AC$66,2,FALSE)</f>
        <v>Equipe 17</v>
      </c>
      <c r="AB27" s="825"/>
      <c r="AC27" s="767">
        <f>VLOOKUP($Z27,$Z$63:$AC$66,4,FALSE)</f>
        <v>3.9999999999999998E-7</v>
      </c>
      <c r="AD27" s="922"/>
      <c r="AE27" s="105"/>
      <c r="AF27" s="49">
        <v>1</v>
      </c>
      <c r="AG27" s="680" t="str">
        <f>VLOOKUP($AF27,$AF$63:$AI$66,2,FALSE)</f>
        <v>Equipe 21</v>
      </c>
      <c r="AH27" s="680"/>
      <c r="AI27" s="681">
        <f>VLOOKUP($AF27,$AF$63:$AI$66,4,FALSE)</f>
        <v>3.9999999999999998E-7</v>
      </c>
      <c r="AJ27" s="682"/>
    </row>
    <row r="28" spans="1:36" x14ac:dyDescent="0.25">
      <c r="A28" s="19"/>
      <c r="B28" s="49">
        <v>2</v>
      </c>
      <c r="C28" s="680" t="str">
        <f>VLOOKUP($B28,$B$63:$E$66,2,FALSE)</f>
        <v>Equipe 2</v>
      </c>
      <c r="D28" s="680"/>
      <c r="E28" s="683">
        <f>VLOOKUP($B28,$B$63:$E$66,4,FALSE)</f>
        <v>2.9999999999999999E-7</v>
      </c>
      <c r="F28" s="684"/>
      <c r="G28" s="105"/>
      <c r="H28" s="49">
        <v>2</v>
      </c>
      <c r="I28" s="680" t="str">
        <f>VLOOKUP($H28,$H$63:$K$66,2,FALSE)</f>
        <v>Equipe 6</v>
      </c>
      <c r="J28" s="680"/>
      <c r="K28" s="681">
        <f>VLOOKUP($H28,$H$63:$K$66,4,FALSE)</f>
        <v>2.9999999999999999E-7</v>
      </c>
      <c r="L28" s="682"/>
      <c r="M28" s="76"/>
      <c r="N28" s="49">
        <v>2</v>
      </c>
      <c r="O28" s="680" t="str">
        <f>VLOOKUP($N28,$N$63:$Q$66,2,FALSE)</f>
        <v>Equipe 10</v>
      </c>
      <c r="P28" s="680"/>
      <c r="Q28" s="681">
        <f>VLOOKUP($N28,$N$63:$Q$66,4,FALSE)</f>
        <v>2.9999999999999999E-7</v>
      </c>
      <c r="R28" s="682"/>
      <c r="S28" s="105"/>
      <c r="T28" s="49">
        <v>2</v>
      </c>
      <c r="U28" s="680" t="str">
        <f>VLOOKUP($T28,$T$63:$W$66,2,FALSE)</f>
        <v>Equipe 14</v>
      </c>
      <c r="V28" s="680"/>
      <c r="W28" s="681">
        <f>VLOOKUP($T28,$T$63:$W$66,4,FALSE)</f>
        <v>2.9999999999999999E-7</v>
      </c>
      <c r="X28" s="682"/>
      <c r="Y28" s="76"/>
      <c r="Z28" s="49">
        <v>2</v>
      </c>
      <c r="AA28" s="824" t="str">
        <f>VLOOKUP($Z28,$Z$63:$AC$66,2,FALSE)</f>
        <v>Equipe 18</v>
      </c>
      <c r="AB28" s="825"/>
      <c r="AC28" s="767">
        <f>VLOOKUP($Z28,$Z$63:$AC$66,4,FALSE)</f>
        <v>2.9999999999999999E-7</v>
      </c>
      <c r="AD28" s="922"/>
      <c r="AE28" s="105"/>
      <c r="AF28" s="49">
        <v>2</v>
      </c>
      <c r="AG28" s="680" t="str">
        <f>VLOOKUP($AF28,$AF$63:$AI$66,2,FALSE)</f>
        <v>Equipe 22</v>
      </c>
      <c r="AH28" s="680"/>
      <c r="AI28" s="681">
        <f>VLOOKUP($AF28,$AF$63:$AI$66,4,FALSE)</f>
        <v>2.9999999999999999E-7</v>
      </c>
      <c r="AJ28" s="682"/>
    </row>
    <row r="29" spans="1:36" x14ac:dyDescent="0.25">
      <c r="A29" s="19"/>
      <c r="B29" s="49">
        <v>3</v>
      </c>
      <c r="C29" s="680" t="str">
        <f>VLOOKUP($B29,$B$63:$E$66,2,FALSE)</f>
        <v>Equipe 3</v>
      </c>
      <c r="D29" s="680"/>
      <c r="E29" s="683">
        <f>VLOOKUP($B29,$B$63:$E$66,4,FALSE)</f>
        <v>1.9999999999999999E-7</v>
      </c>
      <c r="F29" s="684"/>
      <c r="G29" s="105"/>
      <c r="H29" s="49">
        <v>3</v>
      </c>
      <c r="I29" s="680" t="str">
        <f>VLOOKUP($H29,$H$63:$K$66,2,FALSE)</f>
        <v>Equipe 7</v>
      </c>
      <c r="J29" s="680"/>
      <c r="K29" s="681">
        <f>VLOOKUP($H29,$H$63:$K$66,4,FALSE)</f>
        <v>1.9999999999999999E-7</v>
      </c>
      <c r="L29" s="682"/>
      <c r="M29" s="76"/>
      <c r="N29" s="49">
        <v>3</v>
      </c>
      <c r="O29" s="680" t="str">
        <f>VLOOKUP($N29,$N$63:$Q$66,2,FALSE)</f>
        <v>Equipe 11</v>
      </c>
      <c r="P29" s="680"/>
      <c r="Q29" s="681">
        <f>VLOOKUP($N29,$N$63:$Q$66,4,FALSE)</f>
        <v>1.9999999999999999E-7</v>
      </c>
      <c r="R29" s="682"/>
      <c r="S29" s="105"/>
      <c r="T29" s="49">
        <v>3</v>
      </c>
      <c r="U29" s="680" t="str">
        <f>VLOOKUP($T29,$T$63:$W$66,2,FALSE)</f>
        <v>Equipe 15</v>
      </c>
      <c r="V29" s="680"/>
      <c r="W29" s="681">
        <f>VLOOKUP($T29,$T$63:$W$66,4,FALSE)</f>
        <v>1.9999999999999999E-7</v>
      </c>
      <c r="X29" s="682"/>
      <c r="Y29" s="76"/>
      <c r="Z29" s="49">
        <v>3</v>
      </c>
      <c r="AA29" s="824" t="str">
        <f>VLOOKUP($Z29,$Z$63:$AC$66,2,FALSE)</f>
        <v>Equipe 19</v>
      </c>
      <c r="AB29" s="825"/>
      <c r="AC29" s="767">
        <f>VLOOKUP($Z29,$Z$63:$AC$66,4,FALSE)</f>
        <v>1.9999999999999999E-7</v>
      </c>
      <c r="AD29" s="922"/>
      <c r="AE29" s="105"/>
      <c r="AF29" s="49">
        <v>3</v>
      </c>
      <c r="AG29" s="680" t="str">
        <f>VLOOKUP($AF29,$AF$63:$AI$66,2,FALSE)</f>
        <v>Equipe 23</v>
      </c>
      <c r="AH29" s="680"/>
      <c r="AI29" s="681">
        <f>VLOOKUP($AF29,$AF$63:$AI$66,4,FALSE)</f>
        <v>1.9999999999999999E-7</v>
      </c>
      <c r="AJ29" s="682"/>
    </row>
    <row r="30" spans="1:36" ht="15.75" thickBot="1" x14ac:dyDescent="0.3">
      <c r="A30" s="19"/>
      <c r="B30" s="108">
        <v>4</v>
      </c>
      <c r="C30" s="843" t="str">
        <f>VLOOKUP($B30,$B$63:$E$66,2,FALSE)</f>
        <v>Equipe 4</v>
      </c>
      <c r="D30" s="843"/>
      <c r="E30" s="839">
        <f>VLOOKUP($B30,$B$63:$E$66,4,FALSE)</f>
        <v>9.9999999999999995E-8</v>
      </c>
      <c r="F30" s="840"/>
      <c r="G30" s="105"/>
      <c r="H30" s="108">
        <v>4</v>
      </c>
      <c r="I30" s="843" t="str">
        <f>VLOOKUP($H30,$H$63:$K$66,2,FALSE)</f>
        <v>Equipe 8</v>
      </c>
      <c r="J30" s="843"/>
      <c r="K30" s="895">
        <f>VLOOKUP($H30,$H$63:$K$66,4,FALSE)</f>
        <v>9.9999999999999995E-8</v>
      </c>
      <c r="L30" s="1082"/>
      <c r="M30" s="76"/>
      <c r="N30" s="108">
        <v>4</v>
      </c>
      <c r="O30" s="843" t="str">
        <f>VLOOKUP($N30,$N$63:$Q$66,2,FALSE)</f>
        <v>Equipe 12</v>
      </c>
      <c r="P30" s="843"/>
      <c r="Q30" s="895">
        <f>VLOOKUP($N30,$N$63:$Q$66,4,FALSE)</f>
        <v>9.9999999999999995E-8</v>
      </c>
      <c r="R30" s="1082"/>
      <c r="S30" s="105"/>
      <c r="T30" s="108">
        <v>4</v>
      </c>
      <c r="U30" s="843" t="str">
        <f>VLOOKUP($T30,$T$63:$W$66,2,FALSE)</f>
        <v>Equipe 16</v>
      </c>
      <c r="V30" s="843"/>
      <c r="W30" s="895">
        <f>VLOOKUP($T30,$T$63:$W$66,4,FALSE)</f>
        <v>9.9999999999999995E-8</v>
      </c>
      <c r="X30" s="1082"/>
      <c r="Y30" s="76"/>
      <c r="Z30" s="108">
        <v>4</v>
      </c>
      <c r="AA30" s="841" t="str">
        <f>VLOOKUP($Z30,$Z$63:$AC$66,2,FALSE)</f>
        <v>Equipe 20</v>
      </c>
      <c r="AB30" s="842"/>
      <c r="AC30" s="1083">
        <f>VLOOKUP($Z30,$Z$63:$AC$66,4,FALSE)</f>
        <v>9.9999999999999995E-8</v>
      </c>
      <c r="AD30" s="897"/>
      <c r="AE30" s="105"/>
      <c r="AF30" s="108">
        <v>4</v>
      </c>
      <c r="AG30" s="843" t="str">
        <f>VLOOKUP($AF30,$AF$63:$AI$66,2,FALSE)</f>
        <v>Equipe 24</v>
      </c>
      <c r="AH30" s="843"/>
      <c r="AI30" s="895">
        <f>VLOOKUP($AF30,$AF$63:$AI$66,4,FALSE)</f>
        <v>9.9999999999999995E-8</v>
      </c>
      <c r="AJ30" s="1082"/>
    </row>
    <row r="31" spans="1:36" ht="15.75" thickBot="1" x14ac:dyDescent="0.3">
      <c r="A31" s="703" t="s">
        <v>34</v>
      </c>
      <c r="B31" s="704"/>
      <c r="C31" s="704"/>
      <c r="D31" s="704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4"/>
      <c r="V31" s="704"/>
      <c r="W31" s="704"/>
      <c r="X31" s="704"/>
      <c r="Y31" s="704"/>
      <c r="Z31" s="704"/>
      <c r="AA31" s="704"/>
      <c r="AB31" s="704"/>
      <c r="AC31" s="704"/>
      <c r="AD31" s="704"/>
      <c r="AE31" s="704"/>
      <c r="AF31" s="704"/>
      <c r="AG31" s="704"/>
      <c r="AH31" s="704"/>
      <c r="AI31" s="704"/>
      <c r="AJ31" s="705"/>
    </row>
    <row r="32" spans="1:36" ht="24.95" customHeight="1" thickBot="1" x14ac:dyDescent="0.3">
      <c r="A32" s="112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7"/>
    </row>
    <row r="33" spans="1:36" ht="16.350000000000001" customHeight="1" thickBot="1" x14ac:dyDescent="0.3">
      <c r="A33" s="106"/>
      <c r="B33" s="685" t="s">
        <v>221</v>
      </c>
      <c r="C33" s="685"/>
      <c r="D33" s="685"/>
      <c r="E33" s="685"/>
      <c r="F33" s="685"/>
      <c r="G33" s="685"/>
      <c r="H33" s="685"/>
      <c r="I33" s="685"/>
      <c r="J33" s="432" t="s">
        <v>18</v>
      </c>
      <c r="K33" s="782">
        <v>8.3333333333333332E-3</v>
      </c>
      <c r="L33" s="782"/>
      <c r="M33" s="782"/>
      <c r="N33" s="434" t="s">
        <v>17</v>
      </c>
      <c r="O33" s="432"/>
      <c r="P33" s="686"/>
      <c r="Q33" s="686"/>
      <c r="R33" s="686"/>
      <c r="S33" s="686"/>
      <c r="T33" s="686"/>
      <c r="U33" s="686"/>
      <c r="V33" s="686"/>
      <c r="W33" s="686"/>
      <c r="X33" s="686"/>
      <c r="Y33" s="436"/>
      <c r="Z33" s="434"/>
      <c r="AA33" s="432"/>
      <c r="AB33" s="686"/>
      <c r="AC33" s="686"/>
      <c r="AD33" s="686"/>
      <c r="AE33" s="686"/>
      <c r="AF33" s="686"/>
      <c r="AG33" s="686"/>
      <c r="AH33" s="686"/>
      <c r="AI33" s="686"/>
      <c r="AJ33" s="781"/>
    </row>
    <row r="34" spans="1:36" ht="14.45" customHeight="1" x14ac:dyDescent="0.25">
      <c r="A34" s="19"/>
      <c r="B34" s="125"/>
      <c r="C34" s="912" t="s">
        <v>41</v>
      </c>
      <c r="D34" s="935"/>
      <c r="E34" s="912" t="s">
        <v>15</v>
      </c>
      <c r="F34" s="914"/>
      <c r="G34" s="102"/>
      <c r="H34" s="7"/>
      <c r="I34" s="747" t="s">
        <v>42</v>
      </c>
      <c r="J34" s="748"/>
      <c r="K34" s="747" t="s">
        <v>15</v>
      </c>
      <c r="L34" s="749"/>
      <c r="M34" s="76"/>
      <c r="N34" s="8"/>
      <c r="O34" s="804" t="s">
        <v>43</v>
      </c>
      <c r="P34" s="805"/>
      <c r="Q34" s="804" t="s">
        <v>15</v>
      </c>
      <c r="R34" s="806"/>
      <c r="S34" s="2"/>
      <c r="T34" s="6"/>
      <c r="U34" s="744" t="s">
        <v>55</v>
      </c>
      <c r="V34" s="745"/>
      <c r="W34" s="744" t="s">
        <v>15</v>
      </c>
      <c r="X34" s="746"/>
      <c r="Y34" s="76"/>
      <c r="Z34" s="7"/>
      <c r="AA34" s="747" t="s">
        <v>91</v>
      </c>
      <c r="AB34" s="748"/>
      <c r="AC34" s="747" t="s">
        <v>15</v>
      </c>
      <c r="AD34" s="749"/>
      <c r="AE34" s="2"/>
      <c r="AF34" s="8"/>
      <c r="AG34" s="804" t="s">
        <v>92</v>
      </c>
      <c r="AH34" s="805"/>
      <c r="AI34" s="804" t="s">
        <v>15</v>
      </c>
      <c r="AJ34" s="806"/>
    </row>
    <row r="35" spans="1:36" ht="14.45" customHeight="1" x14ac:dyDescent="0.25">
      <c r="A35" s="19"/>
      <c r="B35" s="10">
        <v>1</v>
      </c>
      <c r="C35" s="905" t="str">
        <f>IF($E$14="","4eme A",C30)</f>
        <v>4eme A</v>
      </c>
      <c r="D35" s="933"/>
      <c r="E35" s="725">
        <f>B100+B104+B108+D89/1000000</f>
        <v>0</v>
      </c>
      <c r="F35" s="726"/>
      <c r="G35" s="103"/>
      <c r="H35" s="11">
        <v>1</v>
      </c>
      <c r="I35" s="907" t="str">
        <f>IF($E$14="","3eme A",C29)</f>
        <v>3eme A</v>
      </c>
      <c r="J35" s="934"/>
      <c r="K35" s="729">
        <f>H100+H104+H108+J89/1000000</f>
        <v>0</v>
      </c>
      <c r="L35" s="730"/>
      <c r="M35" s="76"/>
      <c r="N35" s="12">
        <v>1</v>
      </c>
      <c r="O35" s="844" t="str">
        <f>IF($E$14="","4eme D",U30)</f>
        <v>4eme D</v>
      </c>
      <c r="P35" s="845"/>
      <c r="Q35" s="802">
        <f>N100+N104+N108+P89/1000000</f>
        <v>0</v>
      </c>
      <c r="R35" s="803"/>
      <c r="S35" s="2"/>
      <c r="T35" s="10">
        <v>1</v>
      </c>
      <c r="U35" s="905" t="str">
        <f>IF($E$14="","2eme A",C28)</f>
        <v>2eme A</v>
      </c>
      <c r="V35" s="933"/>
      <c r="W35" s="725">
        <f>T100+T104+T108+V89/1000000</f>
        <v>0</v>
      </c>
      <c r="X35" s="726"/>
      <c r="Y35" s="76"/>
      <c r="Z35" s="11">
        <v>1</v>
      </c>
      <c r="AA35" s="907" t="str">
        <f>IF($E$14="","1er A",C27)</f>
        <v>1er A</v>
      </c>
      <c r="AB35" s="934"/>
      <c r="AC35" s="729">
        <f>Z100+Z104+Z108+AB89/1000000</f>
        <v>0</v>
      </c>
      <c r="AD35" s="730"/>
      <c r="AE35" s="2"/>
      <c r="AF35" s="12">
        <v>1</v>
      </c>
      <c r="AG35" s="844" t="str">
        <f>IF($E$14="","2eme D",U28)</f>
        <v>2eme D</v>
      </c>
      <c r="AH35" s="845"/>
      <c r="AI35" s="802">
        <f>AF100+AF104+AF108+AH89/1000000</f>
        <v>0</v>
      </c>
      <c r="AJ35" s="803"/>
    </row>
    <row r="36" spans="1:36" ht="14.45" customHeight="1" x14ac:dyDescent="0.25">
      <c r="A36" s="19"/>
      <c r="B36" s="10">
        <v>2</v>
      </c>
      <c r="C36" s="905" t="str">
        <f>IF($E$14="","4eme B",I30)</f>
        <v>4eme B</v>
      </c>
      <c r="D36" s="933"/>
      <c r="E36" s="725">
        <f>C100+B105+B109+D90/1000000</f>
        <v>0</v>
      </c>
      <c r="F36" s="726"/>
      <c r="G36" s="103"/>
      <c r="H36" s="11">
        <v>2</v>
      </c>
      <c r="I36" s="907" t="str">
        <f>IF($E$14="","3eme F",AG29)</f>
        <v>3eme F</v>
      </c>
      <c r="J36" s="934"/>
      <c r="K36" s="729">
        <f>I100+H105+H109+J90/1000000</f>
        <v>0</v>
      </c>
      <c r="L36" s="730"/>
      <c r="M36" s="76"/>
      <c r="N36" s="12">
        <v>2</v>
      </c>
      <c r="O36" s="844" t="str">
        <f>IF($E$14="","4eme F",AG30)</f>
        <v>4eme F</v>
      </c>
      <c r="P36" s="845"/>
      <c r="Q36" s="802">
        <f>O100+N105+N109+P90/1000000</f>
        <v>0</v>
      </c>
      <c r="R36" s="803"/>
      <c r="S36" s="2"/>
      <c r="T36" s="10">
        <v>2</v>
      </c>
      <c r="U36" s="905" t="str">
        <f>IF($E$14="","2eme B",I28)</f>
        <v>2eme B</v>
      </c>
      <c r="V36" s="933"/>
      <c r="W36" s="725">
        <f>U100+T105+T109+V90/1000000</f>
        <v>0</v>
      </c>
      <c r="X36" s="726"/>
      <c r="Y36" s="76"/>
      <c r="Z36" s="11">
        <v>2</v>
      </c>
      <c r="AA36" s="907" t="str">
        <f>IF($E$14="","1er F",AA27)</f>
        <v>1er F</v>
      </c>
      <c r="AB36" s="934"/>
      <c r="AC36" s="729">
        <f>AA100+Z105+Z109+AB90/1000000</f>
        <v>0</v>
      </c>
      <c r="AD36" s="730"/>
      <c r="AE36" s="2"/>
      <c r="AF36" s="12">
        <v>2</v>
      </c>
      <c r="AG36" s="844" t="str">
        <f>IF($E$14="","2eme F",AG28)</f>
        <v>2eme F</v>
      </c>
      <c r="AH36" s="845"/>
      <c r="AI36" s="802">
        <f>AG100+AF105+AF109+AH90/1000000</f>
        <v>0</v>
      </c>
      <c r="AJ36" s="803"/>
    </row>
    <row r="37" spans="1:36" ht="14.45" customHeight="1" x14ac:dyDescent="0.25">
      <c r="A37" s="19"/>
      <c r="B37" s="10">
        <v>3</v>
      </c>
      <c r="C37" s="905" t="str">
        <f>IF($E$14="","3eme C",O29)</f>
        <v>3eme C</v>
      </c>
      <c r="D37" s="933"/>
      <c r="E37" s="725">
        <f>B101+C104+C109+D91/1000000</f>
        <v>0</v>
      </c>
      <c r="F37" s="726"/>
      <c r="G37" s="103"/>
      <c r="H37" s="11">
        <v>3</v>
      </c>
      <c r="I37" s="907" t="str">
        <f>IF($E$14="","4eme C",O30)</f>
        <v>4eme C</v>
      </c>
      <c r="J37" s="934"/>
      <c r="K37" s="729">
        <f>H101+I104+I109+J91/1000000</f>
        <v>0</v>
      </c>
      <c r="L37" s="730"/>
      <c r="M37" s="76"/>
      <c r="N37" s="12">
        <v>3</v>
      </c>
      <c r="O37" s="844" t="str">
        <f>IF($E$14="","3eme B",I29)</f>
        <v>3eme B</v>
      </c>
      <c r="P37" s="845"/>
      <c r="Q37" s="802">
        <f>N101+O104+O109+P91/1000000</f>
        <v>0</v>
      </c>
      <c r="R37" s="803"/>
      <c r="S37" s="2"/>
      <c r="T37" s="10">
        <v>3</v>
      </c>
      <c r="U37" s="905" t="str">
        <f>IF($E$14="","1er C",O27)</f>
        <v>1er C</v>
      </c>
      <c r="V37" s="933"/>
      <c r="W37" s="725">
        <f>T101+U104+U109+V91/1000000</f>
        <v>0</v>
      </c>
      <c r="X37" s="726"/>
      <c r="Y37" s="76"/>
      <c r="Z37" s="11">
        <v>3</v>
      </c>
      <c r="AA37" s="907" t="str">
        <f>IF($E$14="","2eme C",O28)</f>
        <v>2eme C</v>
      </c>
      <c r="AB37" s="934"/>
      <c r="AC37" s="729">
        <f>Z101+AA104+AA109+AB91/1000000</f>
        <v>0</v>
      </c>
      <c r="AD37" s="730"/>
      <c r="AE37" s="2"/>
      <c r="AF37" s="12">
        <v>3</v>
      </c>
      <c r="AG37" s="844" t="str">
        <f>IF($E$14="","1er B",I27)</f>
        <v>1er B</v>
      </c>
      <c r="AH37" s="845"/>
      <c r="AI37" s="802">
        <f>AF101+AG104+AG109+AH91/1000000</f>
        <v>0</v>
      </c>
      <c r="AJ37" s="803"/>
    </row>
    <row r="38" spans="1:36" ht="14.45" customHeight="1" thickBot="1" x14ac:dyDescent="0.3">
      <c r="A38" s="19"/>
      <c r="B38" s="15">
        <v>4</v>
      </c>
      <c r="C38" s="901" t="str">
        <f>IF($E$14="","3eme D",U29)</f>
        <v>3eme D</v>
      </c>
      <c r="D38" s="939"/>
      <c r="E38" s="719">
        <f>C101+C105+C108+D92/1000000</f>
        <v>0</v>
      </c>
      <c r="F38" s="720"/>
      <c r="G38" s="103"/>
      <c r="H38" s="16">
        <v>4</v>
      </c>
      <c r="I38" s="903" t="str">
        <f>IF($E$14="","4eme E",AA30)</f>
        <v>4eme E</v>
      </c>
      <c r="J38" s="940"/>
      <c r="K38" s="723">
        <f>I101+I105+I108+J92/1000000</f>
        <v>0</v>
      </c>
      <c r="L38" s="724"/>
      <c r="M38" s="76"/>
      <c r="N38" s="17">
        <v>4</v>
      </c>
      <c r="O38" s="846" t="str">
        <f>IF($E$14="","3eme E",AA29)</f>
        <v>3eme E</v>
      </c>
      <c r="P38" s="847"/>
      <c r="Q38" s="794">
        <f>O101+O105+O108+P92/1000000</f>
        <v>0</v>
      </c>
      <c r="R38" s="795"/>
      <c r="S38" s="2"/>
      <c r="T38" s="15">
        <v>4</v>
      </c>
      <c r="U38" s="901" t="str">
        <f>IF($E$14="","1er D",U27)</f>
        <v>1er D</v>
      </c>
      <c r="V38" s="939"/>
      <c r="W38" s="719">
        <f>U101+U105+U108+V92/1000000</f>
        <v>0</v>
      </c>
      <c r="X38" s="720"/>
      <c r="Y38" s="76"/>
      <c r="Z38" s="16">
        <v>4</v>
      </c>
      <c r="AA38" s="903" t="str">
        <f>IF($E$14="","2eme E",AA28)</f>
        <v>2eme E</v>
      </c>
      <c r="AB38" s="940"/>
      <c r="AC38" s="723">
        <f>AA101+AA105+AA108+AB92/1000000</f>
        <v>0</v>
      </c>
      <c r="AD38" s="724"/>
      <c r="AE38" s="2"/>
      <c r="AF38" s="17">
        <v>4</v>
      </c>
      <c r="AG38" s="846" t="str">
        <f>IF($E$14="","1er E",AA27)</f>
        <v>1er E</v>
      </c>
      <c r="AH38" s="847"/>
      <c r="AI38" s="794">
        <f>AG101+AG105+AG108+AH92/1000000</f>
        <v>0</v>
      </c>
      <c r="AJ38" s="795"/>
    </row>
    <row r="39" spans="1:36" s="29" customFormat="1" ht="5.0999999999999996" customHeight="1" thickBot="1" x14ac:dyDescent="0.3">
      <c r="A39" s="48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5"/>
      <c r="N39" s="2"/>
      <c r="O39" s="2"/>
      <c r="P39" s="2"/>
      <c r="Q39" s="2"/>
      <c r="R39" s="2"/>
      <c r="S39" s="2"/>
      <c r="T39" s="2"/>
      <c r="U39" s="2"/>
      <c r="V39" s="2"/>
      <c r="W39" s="2"/>
      <c r="X39" s="21"/>
      <c r="Y39" s="85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1"/>
    </row>
    <row r="40" spans="1:36" ht="14.45" customHeight="1" x14ac:dyDescent="0.25">
      <c r="A40" s="364" t="s">
        <v>253</v>
      </c>
      <c r="B40" s="24"/>
      <c r="C40" s="713" t="s">
        <v>10</v>
      </c>
      <c r="D40" s="713"/>
      <c r="E40" s="713" t="s">
        <v>16</v>
      </c>
      <c r="F40" s="714"/>
      <c r="G40" s="482" t="s">
        <v>253</v>
      </c>
      <c r="H40" s="26"/>
      <c r="I40" s="715" t="s">
        <v>10</v>
      </c>
      <c r="J40" s="715"/>
      <c r="K40" s="715" t="s">
        <v>16</v>
      </c>
      <c r="L40" s="716"/>
      <c r="M40" s="456" t="s">
        <v>253</v>
      </c>
      <c r="N40" s="27"/>
      <c r="O40" s="786" t="s">
        <v>10</v>
      </c>
      <c r="P40" s="786"/>
      <c r="Q40" s="786" t="s">
        <v>16</v>
      </c>
      <c r="R40" s="787"/>
      <c r="S40" s="364" t="s">
        <v>253</v>
      </c>
      <c r="T40" s="24"/>
      <c r="U40" s="713" t="s">
        <v>10</v>
      </c>
      <c r="V40" s="713"/>
      <c r="W40" s="713" t="s">
        <v>16</v>
      </c>
      <c r="X40" s="714"/>
      <c r="Y40" s="454" t="s">
        <v>253</v>
      </c>
      <c r="Z40" s="26"/>
      <c r="AA40" s="715" t="s">
        <v>10</v>
      </c>
      <c r="AB40" s="715"/>
      <c r="AC40" s="715" t="s">
        <v>16</v>
      </c>
      <c r="AD40" s="716"/>
      <c r="AE40" s="456" t="s">
        <v>253</v>
      </c>
      <c r="AF40" s="27"/>
      <c r="AG40" s="786" t="s">
        <v>10</v>
      </c>
      <c r="AH40" s="786"/>
      <c r="AI40" s="786" t="s">
        <v>16</v>
      </c>
      <c r="AJ40" s="787"/>
    </row>
    <row r="41" spans="1:36" ht="14.45" customHeight="1" x14ac:dyDescent="0.25">
      <c r="A41" s="479">
        <v>1</v>
      </c>
      <c r="B41" s="30">
        <f>AF23+K6+M5</f>
        <v>0.5625</v>
      </c>
      <c r="C41" s="31" t="str">
        <f>C35</f>
        <v>4eme A</v>
      </c>
      <c r="D41" s="31" t="str">
        <f>C36</f>
        <v>4eme B</v>
      </c>
      <c r="E41" s="53"/>
      <c r="F41" s="54"/>
      <c r="G41" s="483">
        <v>3</v>
      </c>
      <c r="H41" s="32">
        <f>B41</f>
        <v>0.5625</v>
      </c>
      <c r="I41" s="33" t="str">
        <f>I35</f>
        <v>3eme A</v>
      </c>
      <c r="J41" s="33" t="str">
        <f>I36</f>
        <v>3eme F</v>
      </c>
      <c r="K41" s="57"/>
      <c r="L41" s="58"/>
      <c r="M41" s="462">
        <v>1</v>
      </c>
      <c r="N41" s="34">
        <f>H42+K33+S5</f>
        <v>0.57430555555555551</v>
      </c>
      <c r="O41" s="35" t="str">
        <f>O35</f>
        <v>4eme D</v>
      </c>
      <c r="P41" s="35" t="str">
        <f>O36</f>
        <v>4eme F</v>
      </c>
      <c r="Q41" s="61"/>
      <c r="R41" s="62"/>
      <c r="S41" s="479">
        <v>3</v>
      </c>
      <c r="T41" s="30">
        <f>N41</f>
        <v>0.57430555555555551</v>
      </c>
      <c r="U41" s="31" t="str">
        <f>U35</f>
        <v>2eme A</v>
      </c>
      <c r="V41" s="31" t="str">
        <f>U36</f>
        <v>2eme B</v>
      </c>
      <c r="W41" s="53"/>
      <c r="X41" s="54"/>
      <c r="Y41" s="459">
        <v>1</v>
      </c>
      <c r="Z41" s="32">
        <f>T42+K33+S5</f>
        <v>0.58611111111111103</v>
      </c>
      <c r="AA41" s="33" t="str">
        <f>AA35</f>
        <v>1er A</v>
      </c>
      <c r="AB41" s="33" t="str">
        <f>AA36</f>
        <v>1er F</v>
      </c>
      <c r="AC41" s="57"/>
      <c r="AD41" s="58"/>
      <c r="AE41" s="462">
        <v>3</v>
      </c>
      <c r="AF41" s="34">
        <f>Z41</f>
        <v>0.58611111111111103</v>
      </c>
      <c r="AG41" s="35" t="str">
        <f>AG35</f>
        <v>2eme D</v>
      </c>
      <c r="AH41" s="35" t="str">
        <f>AG36</f>
        <v>2eme F</v>
      </c>
      <c r="AI41" s="61"/>
      <c r="AJ41" s="62"/>
    </row>
    <row r="42" spans="1:36" ht="14.45" customHeight="1" thickBot="1" x14ac:dyDescent="0.3">
      <c r="A42" s="480">
        <v>2</v>
      </c>
      <c r="B42" s="38">
        <f>B41</f>
        <v>0.5625</v>
      </c>
      <c r="C42" s="39" t="str">
        <f>C37</f>
        <v>3eme C</v>
      </c>
      <c r="D42" s="39" t="str">
        <f>C38</f>
        <v>3eme D</v>
      </c>
      <c r="E42" s="55"/>
      <c r="F42" s="56"/>
      <c r="G42" s="484">
        <v>4</v>
      </c>
      <c r="H42" s="40">
        <f>H41</f>
        <v>0.5625</v>
      </c>
      <c r="I42" s="41" t="str">
        <f>I37</f>
        <v>4eme C</v>
      </c>
      <c r="J42" s="41" t="str">
        <f>I38</f>
        <v>4eme E</v>
      </c>
      <c r="K42" s="59"/>
      <c r="L42" s="60"/>
      <c r="M42" s="467">
        <v>2</v>
      </c>
      <c r="N42" s="42">
        <f>N41</f>
        <v>0.57430555555555551</v>
      </c>
      <c r="O42" s="43" t="str">
        <f>O37</f>
        <v>3eme B</v>
      </c>
      <c r="P42" s="43" t="str">
        <f>O38</f>
        <v>3eme E</v>
      </c>
      <c r="Q42" s="63"/>
      <c r="R42" s="64"/>
      <c r="S42" s="480">
        <v>4</v>
      </c>
      <c r="T42" s="38">
        <f>N42</f>
        <v>0.57430555555555551</v>
      </c>
      <c r="U42" s="39" t="str">
        <f>U37</f>
        <v>1er C</v>
      </c>
      <c r="V42" s="39" t="str">
        <f>U38</f>
        <v>1er D</v>
      </c>
      <c r="W42" s="55"/>
      <c r="X42" s="56"/>
      <c r="Y42" s="465">
        <v>2</v>
      </c>
      <c r="Z42" s="40">
        <f>Z41</f>
        <v>0.58611111111111103</v>
      </c>
      <c r="AA42" s="41" t="str">
        <f>AA37</f>
        <v>2eme C</v>
      </c>
      <c r="AB42" s="41" t="str">
        <f>AA38</f>
        <v>2eme E</v>
      </c>
      <c r="AC42" s="59"/>
      <c r="AD42" s="60"/>
      <c r="AE42" s="467">
        <v>4</v>
      </c>
      <c r="AF42" s="42">
        <f>AF41</f>
        <v>0.58611111111111103</v>
      </c>
      <c r="AG42" s="43" t="str">
        <f>AG37</f>
        <v>1er B</v>
      </c>
      <c r="AH42" s="43" t="str">
        <f>AG38</f>
        <v>1er E</v>
      </c>
      <c r="AI42" s="63"/>
      <c r="AJ42" s="64"/>
    </row>
    <row r="43" spans="1:36" ht="5.0999999999999996" customHeight="1" thickBot="1" x14ac:dyDescent="0.3">
      <c r="A43" s="19"/>
      <c r="B43" s="19"/>
      <c r="C43" s="2"/>
      <c r="D43" s="2"/>
      <c r="E43" s="411"/>
      <c r="F43" s="412"/>
      <c r="G43" s="2"/>
      <c r="H43" s="2"/>
      <c r="I43" s="2"/>
      <c r="J43" s="47"/>
      <c r="K43" s="411"/>
      <c r="L43" s="411"/>
      <c r="M43" s="85"/>
      <c r="N43" s="2"/>
      <c r="O43" s="2"/>
      <c r="P43" s="2"/>
      <c r="Q43" s="411"/>
      <c r="R43" s="411"/>
      <c r="S43" s="19"/>
      <c r="T43" s="19"/>
      <c r="U43" s="2"/>
      <c r="V43" s="2"/>
      <c r="W43" s="411"/>
      <c r="X43" s="412"/>
      <c r="Y43" s="2"/>
      <c r="Z43" s="2"/>
      <c r="AA43" s="2"/>
      <c r="AB43" s="2"/>
      <c r="AC43" s="411"/>
      <c r="AD43" s="411"/>
      <c r="AE43" s="85"/>
      <c r="AF43" s="2"/>
      <c r="AG43" s="2"/>
      <c r="AH43" s="2"/>
      <c r="AI43" s="411"/>
      <c r="AJ43" s="412"/>
    </row>
    <row r="44" spans="1:36" ht="14.45" customHeight="1" x14ac:dyDescent="0.25">
      <c r="A44" s="364" t="s">
        <v>253</v>
      </c>
      <c r="B44" s="24"/>
      <c r="C44" s="713" t="s">
        <v>11</v>
      </c>
      <c r="D44" s="713"/>
      <c r="E44" s="713" t="s">
        <v>16</v>
      </c>
      <c r="F44" s="714"/>
      <c r="G44" s="482" t="s">
        <v>253</v>
      </c>
      <c r="H44" s="26"/>
      <c r="I44" s="715" t="s">
        <v>11</v>
      </c>
      <c r="J44" s="715"/>
      <c r="K44" s="715" t="s">
        <v>16</v>
      </c>
      <c r="L44" s="716"/>
      <c r="M44" s="456" t="s">
        <v>253</v>
      </c>
      <c r="N44" s="27"/>
      <c r="O44" s="786" t="s">
        <v>11</v>
      </c>
      <c r="P44" s="786"/>
      <c r="Q44" s="786" t="s">
        <v>16</v>
      </c>
      <c r="R44" s="787"/>
      <c r="S44" s="364" t="s">
        <v>253</v>
      </c>
      <c r="T44" s="24"/>
      <c r="U44" s="713" t="s">
        <v>11</v>
      </c>
      <c r="V44" s="713"/>
      <c r="W44" s="713" t="s">
        <v>16</v>
      </c>
      <c r="X44" s="714"/>
      <c r="Y44" s="454" t="s">
        <v>253</v>
      </c>
      <c r="Z44" s="26"/>
      <c r="AA44" s="715" t="s">
        <v>11</v>
      </c>
      <c r="AB44" s="715"/>
      <c r="AC44" s="715" t="s">
        <v>16</v>
      </c>
      <c r="AD44" s="716"/>
      <c r="AE44" s="456" t="s">
        <v>253</v>
      </c>
      <c r="AF44" s="27"/>
      <c r="AG44" s="786" t="s">
        <v>11</v>
      </c>
      <c r="AH44" s="786"/>
      <c r="AI44" s="786" t="s">
        <v>16</v>
      </c>
      <c r="AJ44" s="787"/>
    </row>
    <row r="45" spans="1:36" ht="14.45" customHeight="1" x14ac:dyDescent="0.25">
      <c r="A45" s="479">
        <v>1</v>
      </c>
      <c r="B45" s="30">
        <f>AF42+K33+S5</f>
        <v>0.59791666666666654</v>
      </c>
      <c r="C45" s="31" t="str">
        <f>C35</f>
        <v>4eme A</v>
      </c>
      <c r="D45" s="31" t="str">
        <f>C37</f>
        <v>3eme C</v>
      </c>
      <c r="E45" s="53"/>
      <c r="F45" s="54"/>
      <c r="G45" s="483">
        <v>3</v>
      </c>
      <c r="H45" s="32">
        <f>B45</f>
        <v>0.59791666666666654</v>
      </c>
      <c r="I45" s="33" t="str">
        <f>I35</f>
        <v>3eme A</v>
      </c>
      <c r="J45" s="33" t="str">
        <f>I37</f>
        <v>4eme C</v>
      </c>
      <c r="K45" s="57"/>
      <c r="L45" s="58"/>
      <c r="M45" s="462">
        <v>1</v>
      </c>
      <c r="N45" s="34">
        <f>H46+K33+S5</f>
        <v>0.60972222222222205</v>
      </c>
      <c r="O45" s="35" t="str">
        <f>O35</f>
        <v>4eme D</v>
      </c>
      <c r="P45" s="35" t="str">
        <f>O37</f>
        <v>3eme B</v>
      </c>
      <c r="Q45" s="61"/>
      <c r="R45" s="62"/>
      <c r="S45" s="479">
        <v>3</v>
      </c>
      <c r="T45" s="30">
        <f>N45</f>
        <v>0.60972222222222205</v>
      </c>
      <c r="U45" s="31" t="str">
        <f>U35</f>
        <v>2eme A</v>
      </c>
      <c r="V45" s="31" t="str">
        <f>U37</f>
        <v>1er C</v>
      </c>
      <c r="W45" s="53"/>
      <c r="X45" s="54"/>
      <c r="Y45" s="459">
        <v>1</v>
      </c>
      <c r="Z45" s="32">
        <f>T46+K33+S5</f>
        <v>0.62152777777777757</v>
      </c>
      <c r="AA45" s="33" t="str">
        <f>AA35</f>
        <v>1er A</v>
      </c>
      <c r="AB45" s="33" t="str">
        <f>AA37</f>
        <v>2eme C</v>
      </c>
      <c r="AC45" s="57"/>
      <c r="AD45" s="58"/>
      <c r="AE45" s="462">
        <v>3</v>
      </c>
      <c r="AF45" s="34">
        <f>Z46</f>
        <v>0.62152777777777757</v>
      </c>
      <c r="AG45" s="35" t="str">
        <f>AG35</f>
        <v>2eme D</v>
      </c>
      <c r="AH45" s="35" t="str">
        <f>AG37</f>
        <v>1er B</v>
      </c>
      <c r="AI45" s="61"/>
      <c r="AJ45" s="62"/>
    </row>
    <row r="46" spans="1:36" ht="14.45" customHeight="1" thickBot="1" x14ac:dyDescent="0.3">
      <c r="A46" s="480">
        <v>2</v>
      </c>
      <c r="B46" s="38">
        <f>B45</f>
        <v>0.59791666666666654</v>
      </c>
      <c r="C46" s="39" t="str">
        <f>C36</f>
        <v>4eme B</v>
      </c>
      <c r="D46" s="39" t="str">
        <f>C38</f>
        <v>3eme D</v>
      </c>
      <c r="E46" s="55"/>
      <c r="F46" s="56"/>
      <c r="G46" s="485">
        <v>4</v>
      </c>
      <c r="H46" s="40">
        <f>B45</f>
        <v>0.59791666666666654</v>
      </c>
      <c r="I46" s="41" t="str">
        <f>I36</f>
        <v>3eme F</v>
      </c>
      <c r="J46" s="41" t="str">
        <f>I38</f>
        <v>4eme E</v>
      </c>
      <c r="K46" s="59"/>
      <c r="L46" s="60"/>
      <c r="M46" s="467">
        <v>2</v>
      </c>
      <c r="N46" s="42">
        <f>N45</f>
        <v>0.60972222222222205</v>
      </c>
      <c r="O46" s="43" t="str">
        <f>O36</f>
        <v>4eme F</v>
      </c>
      <c r="P46" s="43" t="str">
        <f>O38</f>
        <v>3eme E</v>
      </c>
      <c r="Q46" s="63"/>
      <c r="R46" s="64"/>
      <c r="S46" s="480">
        <v>4</v>
      </c>
      <c r="T46" s="38">
        <f>T45</f>
        <v>0.60972222222222205</v>
      </c>
      <c r="U46" s="39" t="str">
        <f>U36</f>
        <v>2eme B</v>
      </c>
      <c r="V46" s="39" t="str">
        <f>U38</f>
        <v>1er D</v>
      </c>
      <c r="W46" s="55"/>
      <c r="X46" s="56"/>
      <c r="Y46" s="470">
        <v>2</v>
      </c>
      <c r="Z46" s="40">
        <f>Z45</f>
        <v>0.62152777777777757</v>
      </c>
      <c r="AA46" s="41" t="str">
        <f>AA36</f>
        <v>1er F</v>
      </c>
      <c r="AB46" s="41" t="str">
        <f>AA38</f>
        <v>2eme E</v>
      </c>
      <c r="AC46" s="59"/>
      <c r="AD46" s="60"/>
      <c r="AE46" s="467">
        <v>4</v>
      </c>
      <c r="AF46" s="42">
        <f>Z46</f>
        <v>0.62152777777777757</v>
      </c>
      <c r="AG46" s="43" t="str">
        <f>AG36</f>
        <v>2eme F</v>
      </c>
      <c r="AH46" s="43" t="str">
        <f>AG38</f>
        <v>1er E</v>
      </c>
      <c r="AI46" s="63"/>
      <c r="AJ46" s="64"/>
    </row>
    <row r="47" spans="1:36" ht="5.0999999999999996" customHeight="1" thickBot="1" x14ac:dyDescent="0.3">
      <c r="A47" s="19"/>
      <c r="B47" s="19"/>
      <c r="C47" s="2"/>
      <c r="D47" s="2"/>
      <c r="E47" s="411"/>
      <c r="F47" s="412"/>
      <c r="G47" s="486"/>
      <c r="H47" s="2"/>
      <c r="I47" s="2"/>
      <c r="J47" s="47"/>
      <c r="K47" s="411"/>
      <c r="L47" s="411"/>
      <c r="M47" s="85"/>
      <c r="N47" s="2"/>
      <c r="O47" s="2"/>
      <c r="P47" s="2"/>
      <c r="Q47" s="411"/>
      <c r="R47" s="411"/>
      <c r="S47" s="19"/>
      <c r="T47" s="19"/>
      <c r="U47" s="2"/>
      <c r="V47" s="2"/>
      <c r="W47" s="411"/>
      <c r="X47" s="412"/>
      <c r="Y47" s="471"/>
      <c r="Z47" s="2"/>
      <c r="AA47" s="2"/>
      <c r="AB47" s="2"/>
      <c r="AC47" s="411"/>
      <c r="AD47" s="411"/>
      <c r="AE47" s="85"/>
      <c r="AF47" s="2"/>
      <c r="AG47" s="2"/>
      <c r="AH47" s="2"/>
      <c r="AI47" s="411"/>
      <c r="AJ47" s="412"/>
    </row>
    <row r="48" spans="1:36" ht="14.45" customHeight="1" x14ac:dyDescent="0.25">
      <c r="A48" s="364" t="s">
        <v>253</v>
      </c>
      <c r="B48" s="24"/>
      <c r="C48" s="713" t="s">
        <v>12</v>
      </c>
      <c r="D48" s="713"/>
      <c r="E48" s="713" t="s">
        <v>16</v>
      </c>
      <c r="F48" s="714"/>
      <c r="G48" s="482" t="s">
        <v>253</v>
      </c>
      <c r="H48" s="26"/>
      <c r="I48" s="715" t="s">
        <v>12</v>
      </c>
      <c r="J48" s="715"/>
      <c r="K48" s="715" t="s">
        <v>16</v>
      </c>
      <c r="L48" s="716"/>
      <c r="M48" s="456" t="s">
        <v>253</v>
      </c>
      <c r="N48" s="27"/>
      <c r="O48" s="786" t="s">
        <v>12</v>
      </c>
      <c r="P48" s="786"/>
      <c r="Q48" s="786" t="s">
        <v>16</v>
      </c>
      <c r="R48" s="787"/>
      <c r="S48" s="364" t="s">
        <v>253</v>
      </c>
      <c r="T48" s="24"/>
      <c r="U48" s="713" t="s">
        <v>12</v>
      </c>
      <c r="V48" s="713"/>
      <c r="W48" s="713" t="s">
        <v>16</v>
      </c>
      <c r="X48" s="714"/>
      <c r="Y48" s="454" t="s">
        <v>253</v>
      </c>
      <c r="Z48" s="26"/>
      <c r="AA48" s="715" t="s">
        <v>12</v>
      </c>
      <c r="AB48" s="715"/>
      <c r="AC48" s="715" t="s">
        <v>16</v>
      </c>
      <c r="AD48" s="716"/>
      <c r="AE48" s="456" t="s">
        <v>253</v>
      </c>
      <c r="AF48" s="27"/>
      <c r="AG48" s="786" t="s">
        <v>12</v>
      </c>
      <c r="AH48" s="786"/>
      <c r="AI48" s="786" t="s">
        <v>16</v>
      </c>
      <c r="AJ48" s="787"/>
    </row>
    <row r="49" spans="1:36" ht="14.45" customHeight="1" x14ac:dyDescent="0.25">
      <c r="A49" s="479">
        <v>1</v>
      </c>
      <c r="B49" s="30">
        <f>AF46+K33+S5</f>
        <v>0.63333333333333308</v>
      </c>
      <c r="C49" s="31" t="str">
        <f>C35</f>
        <v>4eme A</v>
      </c>
      <c r="D49" s="31" t="str">
        <f>C38</f>
        <v>3eme D</v>
      </c>
      <c r="E49" s="53"/>
      <c r="F49" s="54"/>
      <c r="G49" s="483">
        <v>3</v>
      </c>
      <c r="H49" s="32">
        <f>B49</f>
        <v>0.63333333333333308</v>
      </c>
      <c r="I49" s="33" t="str">
        <f>I35</f>
        <v>3eme A</v>
      </c>
      <c r="J49" s="33" t="str">
        <f>I38</f>
        <v>4eme E</v>
      </c>
      <c r="K49" s="57"/>
      <c r="L49" s="58"/>
      <c r="M49" s="462">
        <v>1</v>
      </c>
      <c r="N49" s="34">
        <f>H50+K33+S5</f>
        <v>0.6451388888888886</v>
      </c>
      <c r="O49" s="35" t="str">
        <f>O35</f>
        <v>4eme D</v>
      </c>
      <c r="P49" s="35" t="str">
        <f>O38</f>
        <v>3eme E</v>
      </c>
      <c r="Q49" s="61"/>
      <c r="R49" s="62"/>
      <c r="S49" s="479">
        <v>3</v>
      </c>
      <c r="T49" s="30">
        <f>N49</f>
        <v>0.6451388888888886</v>
      </c>
      <c r="U49" s="31" t="str">
        <f>U35</f>
        <v>2eme A</v>
      </c>
      <c r="V49" s="31" t="str">
        <f>U38</f>
        <v>1er D</v>
      </c>
      <c r="W49" s="53"/>
      <c r="X49" s="54"/>
      <c r="Y49" s="459">
        <v>1</v>
      </c>
      <c r="Z49" s="32">
        <f>T50+K33+S5</f>
        <v>0.65694444444444411</v>
      </c>
      <c r="AA49" s="33" t="str">
        <f>AA35</f>
        <v>1er A</v>
      </c>
      <c r="AB49" s="33" t="str">
        <f>AA38</f>
        <v>2eme E</v>
      </c>
      <c r="AC49" s="57"/>
      <c r="AD49" s="58"/>
      <c r="AE49" s="462">
        <v>3</v>
      </c>
      <c r="AF49" s="34">
        <f>Z49</f>
        <v>0.65694444444444411</v>
      </c>
      <c r="AG49" s="35" t="str">
        <f>AG35</f>
        <v>2eme D</v>
      </c>
      <c r="AH49" s="35" t="str">
        <f>AG38</f>
        <v>1er E</v>
      </c>
      <c r="AI49" s="61"/>
      <c r="AJ49" s="62"/>
    </row>
    <row r="50" spans="1:36" ht="14.45" customHeight="1" thickBot="1" x14ac:dyDescent="0.3">
      <c r="A50" s="480">
        <v>2</v>
      </c>
      <c r="B50" s="38">
        <f>B49</f>
        <v>0.63333333333333308</v>
      </c>
      <c r="C50" s="39" t="str">
        <f>C36</f>
        <v>4eme B</v>
      </c>
      <c r="D50" s="39" t="str">
        <f>C37</f>
        <v>3eme C</v>
      </c>
      <c r="E50" s="55"/>
      <c r="F50" s="56"/>
      <c r="G50" s="484">
        <v>4</v>
      </c>
      <c r="H50" s="40">
        <f>B49</f>
        <v>0.63333333333333308</v>
      </c>
      <c r="I50" s="41" t="str">
        <f>I36</f>
        <v>3eme F</v>
      </c>
      <c r="J50" s="41" t="str">
        <f>I37</f>
        <v>4eme C</v>
      </c>
      <c r="K50" s="59"/>
      <c r="L50" s="60"/>
      <c r="M50" s="467">
        <v>2</v>
      </c>
      <c r="N50" s="42">
        <f>N49</f>
        <v>0.6451388888888886</v>
      </c>
      <c r="O50" s="43" t="str">
        <f>O36</f>
        <v>4eme F</v>
      </c>
      <c r="P50" s="43" t="str">
        <f>O37</f>
        <v>3eme B</v>
      </c>
      <c r="Q50" s="63"/>
      <c r="R50" s="64"/>
      <c r="S50" s="480">
        <v>4</v>
      </c>
      <c r="T50" s="38">
        <f>N49</f>
        <v>0.6451388888888886</v>
      </c>
      <c r="U50" s="39" t="str">
        <f>U36</f>
        <v>2eme B</v>
      </c>
      <c r="V50" s="39" t="str">
        <f>U37</f>
        <v>1er C</v>
      </c>
      <c r="W50" s="55"/>
      <c r="X50" s="56"/>
      <c r="Y50" s="465">
        <v>2</v>
      </c>
      <c r="Z50" s="40">
        <f>Z49</f>
        <v>0.65694444444444411</v>
      </c>
      <c r="AA50" s="41" t="str">
        <f>AA36</f>
        <v>1er F</v>
      </c>
      <c r="AB50" s="41" t="str">
        <f>AA37</f>
        <v>2eme C</v>
      </c>
      <c r="AC50" s="59"/>
      <c r="AD50" s="60"/>
      <c r="AE50" s="467">
        <v>4</v>
      </c>
      <c r="AF50" s="42">
        <f>Z49</f>
        <v>0.65694444444444411</v>
      </c>
      <c r="AG50" s="43" t="str">
        <f>AG36</f>
        <v>2eme F</v>
      </c>
      <c r="AH50" s="43" t="str">
        <f>AG37</f>
        <v>1er B</v>
      </c>
      <c r="AI50" s="63"/>
      <c r="AJ50" s="64"/>
    </row>
    <row r="51" spans="1:36" ht="5.0999999999999996" hidden="1" customHeight="1" x14ac:dyDescent="0.25">
      <c r="A51" s="19"/>
      <c r="B51" s="120"/>
      <c r="C51" s="119"/>
      <c r="D51" s="119"/>
      <c r="E51" s="173"/>
      <c r="F51" s="173"/>
      <c r="G51" s="89"/>
      <c r="H51" s="120"/>
      <c r="I51" s="119"/>
      <c r="J51" s="119"/>
      <c r="K51" s="173"/>
      <c r="L51" s="173"/>
      <c r="M51" s="89"/>
      <c r="N51" s="120"/>
      <c r="O51" s="119"/>
      <c r="P51" s="119"/>
      <c r="Q51" s="173"/>
      <c r="R51" s="173"/>
      <c r="S51" s="89"/>
      <c r="T51" s="93"/>
      <c r="U51" s="428"/>
      <c r="V51" s="428"/>
      <c r="W51" s="116"/>
      <c r="X51" s="117"/>
      <c r="Y51" s="89"/>
      <c r="Z51" s="120"/>
      <c r="AA51" s="119"/>
      <c r="AB51" s="119"/>
      <c r="AC51" s="173"/>
      <c r="AD51" s="173"/>
      <c r="AE51" s="89"/>
      <c r="AF51" s="93"/>
      <c r="AG51" s="428"/>
      <c r="AH51" s="428"/>
      <c r="AI51" s="116"/>
      <c r="AJ51" s="117"/>
    </row>
    <row r="52" spans="1:36" ht="14.45" hidden="1" customHeight="1" x14ac:dyDescent="0.25">
      <c r="A52" s="19"/>
      <c r="B52" s="762" t="s">
        <v>47</v>
      </c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2"/>
      <c r="U52" s="762"/>
      <c r="V52" s="762"/>
      <c r="W52" s="762"/>
      <c r="X52" s="76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1"/>
    </row>
    <row r="53" spans="1:36" ht="14.45" hidden="1" customHeight="1" x14ac:dyDescent="0.25">
      <c r="A53" s="19"/>
      <c r="B53" s="426" t="s">
        <v>21</v>
      </c>
      <c r="C53" s="711" t="s">
        <v>41</v>
      </c>
      <c r="D53" s="711"/>
      <c r="E53" s="711" t="s">
        <v>15</v>
      </c>
      <c r="F53" s="712"/>
      <c r="G53" s="122"/>
      <c r="H53" s="81" t="s">
        <v>21</v>
      </c>
      <c r="I53" s="711" t="s">
        <v>42</v>
      </c>
      <c r="J53" s="711"/>
      <c r="K53" s="711" t="s">
        <v>15</v>
      </c>
      <c r="L53" s="712"/>
      <c r="M53" s="75"/>
      <c r="N53" s="81" t="s">
        <v>21</v>
      </c>
      <c r="O53" s="711" t="s">
        <v>43</v>
      </c>
      <c r="P53" s="711"/>
      <c r="Q53" s="711" t="s">
        <v>15</v>
      </c>
      <c r="R53" s="712"/>
      <c r="S53" s="122"/>
      <c r="T53" s="81" t="s">
        <v>21</v>
      </c>
      <c r="U53" s="711" t="s">
        <v>55</v>
      </c>
      <c r="V53" s="711"/>
      <c r="W53" s="711" t="s">
        <v>15</v>
      </c>
      <c r="X53" s="712"/>
      <c r="Y53" s="75"/>
      <c r="Z53" s="81" t="s">
        <v>21</v>
      </c>
      <c r="AA53" s="711" t="s">
        <v>43</v>
      </c>
      <c r="AB53" s="711"/>
      <c r="AC53" s="711" t="s">
        <v>15</v>
      </c>
      <c r="AD53" s="712"/>
      <c r="AE53" s="122"/>
      <c r="AF53" s="81" t="s">
        <v>21</v>
      </c>
      <c r="AG53" s="711" t="s">
        <v>55</v>
      </c>
      <c r="AH53" s="711"/>
      <c r="AI53" s="711" t="s">
        <v>15</v>
      </c>
      <c r="AJ53" s="712"/>
    </row>
    <row r="54" spans="1:36" ht="14.45" hidden="1" customHeight="1" x14ac:dyDescent="0.25">
      <c r="A54" s="19"/>
      <c r="B54" s="349">
        <v>1</v>
      </c>
      <c r="C54" s="680" t="str">
        <f>VLOOKUP($B54,$B$69:$E$72,2,FALSE)</f>
        <v>4eme A</v>
      </c>
      <c r="D54" s="680"/>
      <c r="E54" s="683">
        <f>VLOOKUP($B54,$B$69:$E$72,4,FALSE)</f>
        <v>3.9999999999999998E-7</v>
      </c>
      <c r="F54" s="683"/>
      <c r="G54" s="105"/>
      <c r="H54" s="49">
        <v>1</v>
      </c>
      <c r="I54" s="680" t="str">
        <f>VLOOKUP($H54,$H$69:$K$72,2,FALSE)</f>
        <v>3eme A</v>
      </c>
      <c r="J54" s="680"/>
      <c r="K54" s="681">
        <f>VLOOKUP($H54,$H$69:$K$72,4,FALSE)</f>
        <v>3.9999999999999998E-7</v>
      </c>
      <c r="L54" s="681"/>
      <c r="M54" s="76"/>
      <c r="N54" s="49">
        <v>1</v>
      </c>
      <c r="O54" s="680" t="str">
        <f>VLOOKUP($N54,$N$69:$Q$72,2,FALSE)</f>
        <v>4eme D</v>
      </c>
      <c r="P54" s="680"/>
      <c r="Q54" s="681">
        <f>VLOOKUP($N54,$N$69:$Q$72,4,FALSE)</f>
        <v>3.9999999999999998E-7</v>
      </c>
      <c r="R54" s="681"/>
      <c r="S54" s="105"/>
      <c r="T54" s="49">
        <v>1</v>
      </c>
      <c r="U54" s="680" t="str">
        <f>VLOOKUP($T54,$T$69:$W$72,2,FALSE)</f>
        <v>2eme A</v>
      </c>
      <c r="V54" s="680"/>
      <c r="W54" s="681">
        <f>VLOOKUP($T54,$T$69:$W$72,4,FALSE)</f>
        <v>3.9999999999999998E-7</v>
      </c>
      <c r="X54" s="681"/>
      <c r="Y54" s="76"/>
      <c r="Z54" s="49">
        <v>1</v>
      </c>
      <c r="AA54" s="680" t="str">
        <f>VLOOKUP($N54,$N$69:$Q$72,2,FALSE)</f>
        <v>4eme D</v>
      </c>
      <c r="AB54" s="680"/>
      <c r="AC54" s="681">
        <f>VLOOKUP($N54,$N$69:$Q$72,4,FALSE)</f>
        <v>3.9999999999999998E-7</v>
      </c>
      <c r="AD54" s="681"/>
      <c r="AE54" s="105"/>
      <c r="AF54" s="49">
        <v>1</v>
      </c>
      <c r="AG54" s="680" t="str">
        <f>VLOOKUP($T54,$T$69:$W$72,2,FALSE)</f>
        <v>2eme A</v>
      </c>
      <c r="AH54" s="680"/>
      <c r="AI54" s="681">
        <f>VLOOKUP($T54,$T$69:$W$72,4,FALSE)</f>
        <v>3.9999999999999998E-7</v>
      </c>
      <c r="AJ54" s="682"/>
    </row>
    <row r="55" spans="1:36" ht="14.45" hidden="1" customHeight="1" x14ac:dyDescent="0.25">
      <c r="A55" s="19"/>
      <c r="B55" s="349">
        <v>2</v>
      </c>
      <c r="C55" s="680" t="str">
        <f t="shared" ref="C55:C57" si="0">VLOOKUP($B55,$B$69:$E$72,2,FALSE)</f>
        <v>4eme B</v>
      </c>
      <c r="D55" s="680"/>
      <c r="E55" s="683">
        <f t="shared" ref="E55:E57" si="1">VLOOKUP($B55,$B$69:$E$72,4,FALSE)</f>
        <v>2.9999999999999999E-7</v>
      </c>
      <c r="F55" s="683"/>
      <c r="G55" s="105"/>
      <c r="H55" s="49">
        <v>2</v>
      </c>
      <c r="I55" s="680" t="str">
        <f t="shared" ref="I55:I57" si="2">VLOOKUP($H55,$H$69:$K$72,2,FALSE)</f>
        <v>3eme F</v>
      </c>
      <c r="J55" s="680"/>
      <c r="K55" s="681">
        <f t="shared" ref="K55:K57" si="3">VLOOKUP($H55,$H$69:$K$72,4,FALSE)</f>
        <v>2.9999999999999999E-7</v>
      </c>
      <c r="L55" s="681"/>
      <c r="M55" s="76"/>
      <c r="N55" s="49">
        <v>2</v>
      </c>
      <c r="O55" s="680" t="str">
        <f t="shared" ref="O55:O57" si="4">VLOOKUP($N55,$N$69:$Q$72,2,FALSE)</f>
        <v>4eme F</v>
      </c>
      <c r="P55" s="680"/>
      <c r="Q55" s="681">
        <f t="shared" ref="Q55:Q57" si="5">VLOOKUP($N55,$N$69:$Q$72,4,FALSE)</f>
        <v>2.9999999999999999E-7</v>
      </c>
      <c r="R55" s="681"/>
      <c r="S55" s="105"/>
      <c r="T55" s="49">
        <v>2</v>
      </c>
      <c r="U55" s="680" t="str">
        <f t="shared" ref="U55:U57" si="6">VLOOKUP($T55,$T$69:$W$72,2,FALSE)</f>
        <v>2eme B</v>
      </c>
      <c r="V55" s="680"/>
      <c r="W55" s="681">
        <f t="shared" ref="W55:W57" si="7">VLOOKUP($T55,$T$69:$W$72,4,FALSE)</f>
        <v>2.9999999999999999E-7</v>
      </c>
      <c r="X55" s="681"/>
      <c r="Y55" s="76"/>
      <c r="Z55" s="49">
        <v>2</v>
      </c>
      <c r="AA55" s="680" t="str">
        <f t="shared" ref="AA55:AA57" si="8">VLOOKUP($N55,$N$69:$Q$72,2,FALSE)</f>
        <v>4eme F</v>
      </c>
      <c r="AB55" s="680"/>
      <c r="AC55" s="681">
        <f t="shared" ref="AC55:AC57" si="9">VLOOKUP($N55,$N$69:$Q$72,4,FALSE)</f>
        <v>2.9999999999999999E-7</v>
      </c>
      <c r="AD55" s="681"/>
      <c r="AE55" s="105"/>
      <c r="AF55" s="49">
        <v>2</v>
      </c>
      <c r="AG55" s="680" t="str">
        <f t="shared" ref="AG55:AG57" si="10">VLOOKUP($T55,$T$69:$W$72,2,FALSE)</f>
        <v>2eme B</v>
      </c>
      <c r="AH55" s="680"/>
      <c r="AI55" s="681">
        <f t="shared" ref="AI55:AI57" si="11">VLOOKUP($T55,$T$69:$W$72,4,FALSE)</f>
        <v>2.9999999999999999E-7</v>
      </c>
      <c r="AJ55" s="682"/>
    </row>
    <row r="56" spans="1:36" ht="14.45" hidden="1" customHeight="1" x14ac:dyDescent="0.25">
      <c r="A56" s="19"/>
      <c r="B56" s="349">
        <v>3</v>
      </c>
      <c r="C56" s="680" t="str">
        <f t="shared" si="0"/>
        <v>3eme C</v>
      </c>
      <c r="D56" s="680"/>
      <c r="E56" s="683">
        <f t="shared" si="1"/>
        <v>1.9999999999999999E-7</v>
      </c>
      <c r="F56" s="683"/>
      <c r="G56" s="105"/>
      <c r="H56" s="49">
        <v>3</v>
      </c>
      <c r="I56" s="680" t="str">
        <f t="shared" si="2"/>
        <v>4eme C</v>
      </c>
      <c r="J56" s="680"/>
      <c r="K56" s="681">
        <f t="shared" si="3"/>
        <v>1.9999999999999999E-7</v>
      </c>
      <c r="L56" s="681"/>
      <c r="M56" s="76"/>
      <c r="N56" s="49">
        <v>3</v>
      </c>
      <c r="O56" s="680" t="str">
        <f t="shared" si="4"/>
        <v>3eme B</v>
      </c>
      <c r="P56" s="680"/>
      <c r="Q56" s="681">
        <f t="shared" si="5"/>
        <v>1.9999999999999999E-7</v>
      </c>
      <c r="R56" s="681"/>
      <c r="S56" s="105"/>
      <c r="T56" s="49">
        <v>3</v>
      </c>
      <c r="U56" s="680" t="str">
        <f t="shared" si="6"/>
        <v>1er C</v>
      </c>
      <c r="V56" s="680"/>
      <c r="W56" s="681">
        <f t="shared" si="7"/>
        <v>1.9999999999999999E-7</v>
      </c>
      <c r="X56" s="681"/>
      <c r="Y56" s="76"/>
      <c r="Z56" s="49">
        <v>3</v>
      </c>
      <c r="AA56" s="680" t="str">
        <f t="shared" si="8"/>
        <v>3eme B</v>
      </c>
      <c r="AB56" s="680"/>
      <c r="AC56" s="681">
        <f t="shared" si="9"/>
        <v>1.9999999999999999E-7</v>
      </c>
      <c r="AD56" s="681"/>
      <c r="AE56" s="105"/>
      <c r="AF56" s="49">
        <v>3</v>
      </c>
      <c r="AG56" s="680" t="str">
        <f t="shared" si="10"/>
        <v>1er C</v>
      </c>
      <c r="AH56" s="680"/>
      <c r="AI56" s="681">
        <f t="shared" si="11"/>
        <v>1.9999999999999999E-7</v>
      </c>
      <c r="AJ56" s="682"/>
    </row>
    <row r="57" spans="1:36" ht="14.45" hidden="1" customHeight="1" x14ac:dyDescent="0.25">
      <c r="A57" s="19"/>
      <c r="B57" s="350">
        <v>4</v>
      </c>
      <c r="C57" s="680" t="str">
        <f t="shared" si="0"/>
        <v>3eme D</v>
      </c>
      <c r="D57" s="680"/>
      <c r="E57" s="683">
        <f t="shared" si="1"/>
        <v>9.9999999999999995E-8</v>
      </c>
      <c r="F57" s="683"/>
      <c r="G57" s="123"/>
      <c r="H57" s="50">
        <v>4</v>
      </c>
      <c r="I57" s="680" t="str">
        <f t="shared" si="2"/>
        <v>4eme E</v>
      </c>
      <c r="J57" s="680"/>
      <c r="K57" s="681">
        <f t="shared" si="3"/>
        <v>9.9999999999999995E-8</v>
      </c>
      <c r="L57" s="681"/>
      <c r="M57" s="78"/>
      <c r="N57" s="50">
        <v>4</v>
      </c>
      <c r="O57" s="680" t="str">
        <f t="shared" si="4"/>
        <v>3eme E</v>
      </c>
      <c r="P57" s="680"/>
      <c r="Q57" s="681">
        <f t="shared" si="5"/>
        <v>9.9999999999999995E-8</v>
      </c>
      <c r="R57" s="681"/>
      <c r="S57" s="123"/>
      <c r="T57" s="50">
        <v>4</v>
      </c>
      <c r="U57" s="680" t="str">
        <f t="shared" si="6"/>
        <v>1er D</v>
      </c>
      <c r="V57" s="680"/>
      <c r="W57" s="681">
        <f t="shared" si="7"/>
        <v>9.9999999999999995E-8</v>
      </c>
      <c r="X57" s="681"/>
      <c r="Y57" s="78"/>
      <c r="Z57" s="50">
        <v>4</v>
      </c>
      <c r="AA57" s="680" t="str">
        <f t="shared" si="8"/>
        <v>3eme E</v>
      </c>
      <c r="AB57" s="680"/>
      <c r="AC57" s="681">
        <f t="shared" si="9"/>
        <v>9.9999999999999995E-8</v>
      </c>
      <c r="AD57" s="681"/>
      <c r="AE57" s="123"/>
      <c r="AF57" s="50">
        <v>4</v>
      </c>
      <c r="AG57" s="680" t="str">
        <f t="shared" si="10"/>
        <v>1er D</v>
      </c>
      <c r="AH57" s="680"/>
      <c r="AI57" s="681">
        <f t="shared" si="11"/>
        <v>9.9999999999999995E-8</v>
      </c>
      <c r="AJ57" s="682"/>
    </row>
    <row r="58" spans="1:36" ht="15" hidden="1" customHeight="1" x14ac:dyDescent="0.25">
      <c r="A58" s="19"/>
      <c r="B58" s="1073" t="s">
        <v>34</v>
      </c>
      <c r="C58" s="1073"/>
      <c r="D58" s="1073"/>
      <c r="E58" s="1073"/>
      <c r="F58" s="1073"/>
      <c r="G58" s="1073"/>
      <c r="H58" s="1073"/>
      <c r="I58" s="1073"/>
      <c r="J58" s="1073"/>
      <c r="K58" s="1073"/>
      <c r="L58" s="1073"/>
      <c r="M58" s="1073"/>
      <c r="N58" s="1073"/>
      <c r="O58" s="1073"/>
      <c r="P58" s="1073"/>
      <c r="Q58" s="1073"/>
      <c r="R58" s="1073"/>
      <c r="S58" s="1073"/>
      <c r="T58" s="1073"/>
      <c r="U58" s="1073"/>
      <c r="V58" s="1073"/>
      <c r="W58" s="1073"/>
      <c r="X58" s="1074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1"/>
    </row>
    <row r="59" spans="1:36" s="2" customFormat="1" ht="15.75" thickBot="1" x14ac:dyDescent="0.3">
      <c r="A59" s="106"/>
      <c r="B59" s="1075" t="s">
        <v>254</v>
      </c>
      <c r="C59" s="1075"/>
      <c r="D59" s="1075"/>
      <c r="E59" s="1075"/>
      <c r="F59" s="1075"/>
      <c r="G59" s="1075"/>
      <c r="H59" s="1075"/>
      <c r="I59" s="1075"/>
      <c r="J59" s="1075"/>
      <c r="K59" s="1075"/>
      <c r="L59" s="1075"/>
      <c r="M59" s="1075"/>
      <c r="N59" s="1075"/>
      <c r="O59" s="1075"/>
      <c r="P59" s="1075"/>
      <c r="Q59" s="1075"/>
      <c r="R59" s="1075"/>
      <c r="S59" s="1075"/>
      <c r="T59" s="1075"/>
      <c r="U59" s="1075"/>
      <c r="V59" s="1075"/>
      <c r="W59" s="1075"/>
      <c r="X59" s="1075"/>
      <c r="Y59" s="1075"/>
      <c r="Z59" s="1075"/>
      <c r="AA59" s="1075"/>
      <c r="AB59" s="1075"/>
      <c r="AC59" s="1075"/>
      <c r="AD59" s="1075"/>
      <c r="AE59" s="1075"/>
      <c r="AF59" s="1075"/>
      <c r="AG59" s="1075"/>
      <c r="AH59" s="1075"/>
      <c r="AI59" s="1075"/>
      <c r="AJ59" s="1076"/>
    </row>
    <row r="60" spans="1:36" s="2" customFormat="1" x14ac:dyDescent="0.25">
      <c r="A60" s="19"/>
    </row>
    <row r="61" spans="1:36" ht="16.5" hidden="1" thickBot="1" x14ac:dyDescent="0.3">
      <c r="A61" s="19"/>
      <c r="B61" s="670" t="s">
        <v>49</v>
      </c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1"/>
      <c r="Z61" s="671"/>
      <c r="AA61" s="671"/>
      <c r="AB61" s="671"/>
      <c r="AC61" s="671"/>
      <c r="AD61" s="671"/>
      <c r="AE61" s="671"/>
      <c r="AF61" s="671"/>
      <c r="AG61" s="671"/>
      <c r="AH61" s="671"/>
      <c r="AI61" s="671"/>
      <c r="AJ61" s="672"/>
    </row>
    <row r="62" spans="1:36" ht="14.45" hidden="1" customHeight="1" x14ac:dyDescent="0.25">
      <c r="A62" s="19"/>
      <c r="B62" s="96"/>
      <c r="C62" s="711" t="s">
        <v>1</v>
      </c>
      <c r="D62" s="711"/>
      <c r="E62" s="711" t="s">
        <v>15</v>
      </c>
      <c r="F62" s="772"/>
      <c r="G62" s="773"/>
      <c r="H62" s="121"/>
      <c r="I62" s="711" t="s">
        <v>2</v>
      </c>
      <c r="J62" s="711"/>
      <c r="K62" s="711" t="s">
        <v>15</v>
      </c>
      <c r="L62" s="772"/>
      <c r="M62" s="75"/>
      <c r="N62" s="121"/>
      <c r="O62" s="711" t="s">
        <v>3</v>
      </c>
      <c r="P62" s="711"/>
      <c r="Q62" s="711" t="s">
        <v>15</v>
      </c>
      <c r="R62" s="772"/>
      <c r="S62" s="122"/>
      <c r="T62" s="96"/>
      <c r="U62" s="711" t="s">
        <v>4</v>
      </c>
      <c r="V62" s="711"/>
      <c r="W62" s="711" t="s">
        <v>15</v>
      </c>
      <c r="X62" s="712"/>
      <c r="Y62" s="75"/>
      <c r="Z62" s="121"/>
      <c r="AA62" s="711" t="s">
        <v>256</v>
      </c>
      <c r="AB62" s="711"/>
      <c r="AC62" s="711" t="s">
        <v>15</v>
      </c>
      <c r="AD62" s="772"/>
      <c r="AE62" s="122"/>
      <c r="AF62" s="96"/>
      <c r="AG62" s="711" t="s">
        <v>257</v>
      </c>
      <c r="AH62" s="711"/>
      <c r="AI62" s="711" t="s">
        <v>15</v>
      </c>
      <c r="AJ62" s="712"/>
    </row>
    <row r="63" spans="1:36" ht="14.45" hidden="1" customHeight="1" x14ac:dyDescent="0.25">
      <c r="A63" s="19"/>
      <c r="B63" s="86">
        <f>RANK(E63,$E$63:$E$66)</f>
        <v>1</v>
      </c>
      <c r="C63" s="69" t="str">
        <f>C8</f>
        <v>Equipe 1</v>
      </c>
      <c r="D63" s="69">
        <f>E14-F14+E18-F18+E22-F22</f>
        <v>0</v>
      </c>
      <c r="E63" s="681">
        <f>E8+4/10000000</f>
        <v>3.9999999999999998E-7</v>
      </c>
      <c r="F63" s="767"/>
      <c r="G63" s="774"/>
      <c r="H63" s="91">
        <f>RANK(K63,$K$63:$K$66)</f>
        <v>1</v>
      </c>
      <c r="I63" s="69" t="str">
        <f>I8</f>
        <v>Equipe 5</v>
      </c>
      <c r="J63" s="69">
        <f>K14-L14+K18-L18+K22-L22</f>
        <v>0</v>
      </c>
      <c r="K63" s="681">
        <f>K8+4/10000000</f>
        <v>3.9999999999999998E-7</v>
      </c>
      <c r="L63" s="767"/>
      <c r="M63" s="76"/>
      <c r="N63" s="91">
        <f>RANK(Q63,$Q$63:$Q$66)</f>
        <v>1</v>
      </c>
      <c r="O63" s="69" t="str">
        <f>O8</f>
        <v>Equipe 9</v>
      </c>
      <c r="P63" s="69">
        <f>Q14-R14+Q18-R18+Q22-R22</f>
        <v>0</v>
      </c>
      <c r="Q63" s="681">
        <f>Q8+4/10000000</f>
        <v>3.9999999999999998E-7</v>
      </c>
      <c r="R63" s="767"/>
      <c r="S63" s="105"/>
      <c r="T63" s="86">
        <f>RANK(W63,$W$63:$W$66)</f>
        <v>1</v>
      </c>
      <c r="U63" s="69" t="str">
        <f>U8</f>
        <v>Equipe 13</v>
      </c>
      <c r="V63" s="69">
        <f>W14-X14+W18-X18+W22-X22</f>
        <v>0</v>
      </c>
      <c r="W63" s="681">
        <f>W8+4/10000000</f>
        <v>3.9999999999999998E-7</v>
      </c>
      <c r="X63" s="682"/>
      <c r="Y63" s="76"/>
      <c r="Z63" s="91">
        <f>RANK(AC63,$AC$63:$AC$66)</f>
        <v>1</v>
      </c>
      <c r="AA63" s="69" t="str">
        <f>AA8</f>
        <v>Equipe 17</v>
      </c>
      <c r="AB63" s="69">
        <f>AC14-AD14+AC18-AD18+AC22-AD22</f>
        <v>0</v>
      </c>
      <c r="AC63" s="681">
        <f>AC8+4/10000000</f>
        <v>3.9999999999999998E-7</v>
      </c>
      <c r="AD63" s="767"/>
      <c r="AE63" s="105"/>
      <c r="AF63" s="86">
        <f>RANK(AI63,$AI$63:$AI$66)</f>
        <v>1</v>
      </c>
      <c r="AG63" s="69" t="str">
        <f>AG8</f>
        <v>Equipe 21</v>
      </c>
      <c r="AH63" s="69">
        <f>AI14-AJ14+AI18-AJ18+AI22-AJ22</f>
        <v>0</v>
      </c>
      <c r="AI63" s="681">
        <f>AI8+4/10000000</f>
        <v>3.9999999999999998E-7</v>
      </c>
      <c r="AJ63" s="682"/>
    </row>
    <row r="64" spans="1:36" ht="14.45" hidden="1" customHeight="1" x14ac:dyDescent="0.25">
      <c r="A64" s="19"/>
      <c r="B64" s="86">
        <f t="shared" ref="B64:B66" si="12">RANK(E64,$E$63:$E$66)</f>
        <v>2</v>
      </c>
      <c r="C64" s="69" t="str">
        <f>C9</f>
        <v>Equipe 2</v>
      </c>
      <c r="D64" s="69">
        <f>F14-E14+E19-F19+E23-F23</f>
        <v>0</v>
      </c>
      <c r="E64" s="681">
        <f>E9+3/10000000</f>
        <v>2.9999999999999999E-7</v>
      </c>
      <c r="F64" s="767"/>
      <c r="G64" s="774"/>
      <c r="H64" s="91">
        <f t="shared" ref="H64:H66" si="13">RANK(K64,$K$63:$K$66)</f>
        <v>2</v>
      </c>
      <c r="I64" s="69" t="str">
        <f>I9</f>
        <v>Equipe 6</v>
      </c>
      <c r="J64" s="69">
        <f>L14-K14+K19-L19+K23-L23</f>
        <v>0</v>
      </c>
      <c r="K64" s="681">
        <f>K9+3/10000000</f>
        <v>2.9999999999999999E-7</v>
      </c>
      <c r="L64" s="767"/>
      <c r="M64" s="76"/>
      <c r="N64" s="91">
        <f t="shared" ref="N64:N66" si="14">RANK(Q64,$Q$63:$Q$66)</f>
        <v>2</v>
      </c>
      <c r="O64" s="69" t="str">
        <f>O9</f>
        <v>Equipe 10</v>
      </c>
      <c r="P64" s="69">
        <f>R14-Q14+Q19-R19+Q23-R23</f>
        <v>0</v>
      </c>
      <c r="Q64" s="681">
        <f>Q9+3/10000000</f>
        <v>2.9999999999999999E-7</v>
      </c>
      <c r="R64" s="767"/>
      <c r="S64" s="105"/>
      <c r="T64" s="86">
        <f t="shared" ref="T64:T66" si="15">RANK(W64,$W$63:$W$66)</f>
        <v>2</v>
      </c>
      <c r="U64" s="69" t="str">
        <f>U9</f>
        <v>Equipe 14</v>
      </c>
      <c r="V64" s="69">
        <f>X14-W14+W19-X19+W23-X23</f>
        <v>0</v>
      </c>
      <c r="W64" s="681">
        <f>W9+3/10000000</f>
        <v>2.9999999999999999E-7</v>
      </c>
      <c r="X64" s="682"/>
      <c r="Y64" s="76"/>
      <c r="Z64" s="91">
        <f>RANK(AC64,$AC$63:$AC$66)</f>
        <v>2</v>
      </c>
      <c r="AA64" s="69" t="str">
        <f>AA9</f>
        <v>Equipe 18</v>
      </c>
      <c r="AB64" s="69">
        <f>AD14-AC14+AC19-AD19+AC23-AD23</f>
        <v>0</v>
      </c>
      <c r="AC64" s="681">
        <f>AC9+3/10000000</f>
        <v>2.9999999999999999E-7</v>
      </c>
      <c r="AD64" s="767"/>
      <c r="AE64" s="105"/>
      <c r="AF64" s="86">
        <f>RANK(AI64,$AI$63:$AI$66)</f>
        <v>2</v>
      </c>
      <c r="AG64" s="69" t="str">
        <f>AG9</f>
        <v>Equipe 22</v>
      </c>
      <c r="AH64" s="69">
        <f>AJ14-AI14+AI19-AJ19+AI23-AJ23</f>
        <v>0</v>
      </c>
      <c r="AI64" s="681">
        <f>AI9+3/10000000</f>
        <v>2.9999999999999999E-7</v>
      </c>
      <c r="AJ64" s="682"/>
    </row>
    <row r="65" spans="1:36" ht="14.45" hidden="1" customHeight="1" x14ac:dyDescent="0.25">
      <c r="A65" s="19"/>
      <c r="B65" s="86">
        <f t="shared" si="12"/>
        <v>3</v>
      </c>
      <c r="C65" s="69" t="str">
        <f>C10</f>
        <v>Equipe 3</v>
      </c>
      <c r="D65" s="69">
        <f>E15-F15+F18-E18+F23-E23</f>
        <v>0</v>
      </c>
      <c r="E65" s="681">
        <f>E10+2/10000000</f>
        <v>1.9999999999999999E-7</v>
      </c>
      <c r="F65" s="767"/>
      <c r="G65" s="774"/>
      <c r="H65" s="91">
        <f t="shared" si="13"/>
        <v>3</v>
      </c>
      <c r="I65" s="69" t="str">
        <f>I10</f>
        <v>Equipe 7</v>
      </c>
      <c r="J65" s="69">
        <f>K15-L15+L18-K18+L23-K23</f>
        <v>0</v>
      </c>
      <c r="K65" s="681">
        <f>K10+2/10000000</f>
        <v>1.9999999999999999E-7</v>
      </c>
      <c r="L65" s="767"/>
      <c r="M65" s="76"/>
      <c r="N65" s="91">
        <f t="shared" si="14"/>
        <v>3</v>
      </c>
      <c r="O65" s="69" t="str">
        <f>O10</f>
        <v>Equipe 11</v>
      </c>
      <c r="P65" s="69">
        <f>Q15-R15+R18-Q18+R23-Q23</f>
        <v>0</v>
      </c>
      <c r="Q65" s="681">
        <f>Q10+2/10000000</f>
        <v>1.9999999999999999E-7</v>
      </c>
      <c r="R65" s="767"/>
      <c r="S65" s="105"/>
      <c r="T65" s="86">
        <f t="shared" si="15"/>
        <v>3</v>
      </c>
      <c r="U65" s="69" t="str">
        <f>U10</f>
        <v>Equipe 15</v>
      </c>
      <c r="V65" s="69">
        <f>W15-X15+X18-W18+X23-W23</f>
        <v>0</v>
      </c>
      <c r="W65" s="681">
        <f>W10+2/10000000</f>
        <v>1.9999999999999999E-7</v>
      </c>
      <c r="X65" s="682"/>
      <c r="Y65" s="76"/>
      <c r="Z65" s="91">
        <f>RANK(AC65,$AC$63:$AC$66)</f>
        <v>3</v>
      </c>
      <c r="AA65" s="69" t="str">
        <f>AA10</f>
        <v>Equipe 19</v>
      </c>
      <c r="AB65" s="69">
        <f>AC15-AD15+AD18-AC18+AD23-AC23</f>
        <v>0</v>
      </c>
      <c r="AC65" s="681">
        <f>AC10+2/10000000</f>
        <v>1.9999999999999999E-7</v>
      </c>
      <c r="AD65" s="767"/>
      <c r="AE65" s="105"/>
      <c r="AF65" s="86">
        <f>RANK(AI65,$AI$63:$AI$66)</f>
        <v>3</v>
      </c>
      <c r="AG65" s="69" t="str">
        <f>AG10</f>
        <v>Equipe 23</v>
      </c>
      <c r="AH65" s="69">
        <f>AI15-AJ15+AJ18-AI18+AJ23-AI23</f>
        <v>0</v>
      </c>
      <c r="AI65" s="681">
        <f>AI10+2/10000000</f>
        <v>1.9999999999999999E-7</v>
      </c>
      <c r="AJ65" s="682"/>
    </row>
    <row r="66" spans="1:36" ht="14.45" hidden="1" customHeight="1" thickBot="1" x14ac:dyDescent="0.3">
      <c r="A66" s="19"/>
      <c r="B66" s="87">
        <f t="shared" si="12"/>
        <v>4</v>
      </c>
      <c r="C66" s="88" t="str">
        <f>C11</f>
        <v>Equipe 4</v>
      </c>
      <c r="D66" s="88">
        <f>F15-E15+F19-E19+F22-E22</f>
        <v>0</v>
      </c>
      <c r="E66" s="709">
        <f>E11+1/10000000</f>
        <v>9.9999999999999995E-8</v>
      </c>
      <c r="F66" s="761"/>
      <c r="G66" s="775"/>
      <c r="H66" s="92">
        <f t="shared" si="13"/>
        <v>4</v>
      </c>
      <c r="I66" s="88" t="str">
        <f>I11</f>
        <v>Equipe 8</v>
      </c>
      <c r="J66" s="88">
        <f>L15-K15+L19-K19+L22-K22</f>
        <v>0</v>
      </c>
      <c r="K66" s="709">
        <f>K11+1/10000000</f>
        <v>9.9999999999999995E-8</v>
      </c>
      <c r="L66" s="761"/>
      <c r="M66" s="78"/>
      <c r="N66" s="92">
        <f t="shared" si="14"/>
        <v>4</v>
      </c>
      <c r="O66" s="88" t="str">
        <f>O11</f>
        <v>Equipe 12</v>
      </c>
      <c r="P66" s="88">
        <f>R15-Q15+R19-Q19+R22-Q22</f>
        <v>0</v>
      </c>
      <c r="Q66" s="709">
        <f>Q11+1/10000000</f>
        <v>9.9999999999999995E-8</v>
      </c>
      <c r="R66" s="761"/>
      <c r="S66" s="123"/>
      <c r="T66" s="87">
        <f t="shared" si="15"/>
        <v>4</v>
      </c>
      <c r="U66" s="88" t="str">
        <f>U11</f>
        <v>Equipe 16</v>
      </c>
      <c r="V66" s="88">
        <f>X15-W15+X19-W19+X22-W22</f>
        <v>0</v>
      </c>
      <c r="W66" s="709">
        <f>W11+1/10000000</f>
        <v>9.9999999999999995E-8</v>
      </c>
      <c r="X66" s="710"/>
      <c r="Y66" s="78"/>
      <c r="Z66" s="92">
        <f>RANK(AC66,$AC$63:$AC$66)</f>
        <v>4</v>
      </c>
      <c r="AA66" s="88" t="str">
        <f>AA11</f>
        <v>Equipe 20</v>
      </c>
      <c r="AB66" s="88">
        <f>AD15-AC15+AD19-AC19+AD22-AC22</f>
        <v>0</v>
      </c>
      <c r="AC66" s="709">
        <f>AC11+1/10000000</f>
        <v>9.9999999999999995E-8</v>
      </c>
      <c r="AD66" s="761"/>
      <c r="AE66" s="123"/>
      <c r="AF66" s="87">
        <f>RANK(AI66,$AI$63:$AI$66)</f>
        <v>4</v>
      </c>
      <c r="AG66" s="88" t="str">
        <f>AG11</f>
        <v>Equipe 24</v>
      </c>
      <c r="AH66" s="88">
        <f>AJ15-AI15+AJ19-AI19+AJ22-AI22</f>
        <v>0</v>
      </c>
      <c r="AI66" s="709">
        <f>AI11+1/10000000</f>
        <v>9.9999999999999995E-8</v>
      </c>
      <c r="AJ66" s="710"/>
    </row>
    <row r="67" spans="1:36" ht="16.5" hidden="1" thickBot="1" x14ac:dyDescent="0.3">
      <c r="A67" s="19"/>
      <c r="B67" s="670" t="s">
        <v>47</v>
      </c>
      <c r="C67" s="671"/>
      <c r="D67" s="671"/>
      <c r="E67" s="671"/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  <c r="V67" s="671"/>
      <c r="W67" s="671"/>
      <c r="X67" s="671"/>
      <c r="Y67" s="671"/>
      <c r="Z67" s="671"/>
      <c r="AA67" s="671"/>
      <c r="AB67" s="671"/>
      <c r="AC67" s="671"/>
      <c r="AD67" s="671"/>
      <c r="AE67" s="671"/>
      <c r="AF67" s="671"/>
      <c r="AG67" s="671"/>
      <c r="AH67" s="671"/>
      <c r="AI67" s="671"/>
      <c r="AJ67" s="672"/>
    </row>
    <row r="68" spans="1:36" ht="14.45" hidden="1" customHeight="1" x14ac:dyDescent="0.25">
      <c r="A68" s="19"/>
      <c r="B68" s="96"/>
      <c r="C68" s="711" t="s">
        <v>62</v>
      </c>
      <c r="D68" s="711"/>
      <c r="E68" s="711" t="s">
        <v>15</v>
      </c>
      <c r="F68" s="712"/>
      <c r="G68" s="773"/>
      <c r="H68" s="96"/>
      <c r="I68" s="711" t="s">
        <v>63</v>
      </c>
      <c r="J68" s="711"/>
      <c r="K68" s="711" t="s">
        <v>15</v>
      </c>
      <c r="L68" s="712"/>
      <c r="M68" s="75"/>
      <c r="N68" s="96"/>
      <c r="O68" s="711" t="s">
        <v>64</v>
      </c>
      <c r="P68" s="711"/>
      <c r="Q68" s="711" t="s">
        <v>15</v>
      </c>
      <c r="R68" s="712"/>
      <c r="S68" s="122"/>
      <c r="T68" s="96"/>
      <c r="U68" s="711" t="s">
        <v>65</v>
      </c>
      <c r="V68" s="711"/>
      <c r="W68" s="711" t="s">
        <v>15</v>
      </c>
      <c r="X68" s="712"/>
      <c r="Y68" s="75"/>
      <c r="Z68" s="96"/>
      <c r="AA68" s="711" t="s">
        <v>64</v>
      </c>
      <c r="AB68" s="711"/>
      <c r="AC68" s="711" t="s">
        <v>15</v>
      </c>
      <c r="AD68" s="712"/>
      <c r="AE68" s="122"/>
      <c r="AF68" s="96"/>
      <c r="AG68" s="711" t="s">
        <v>65</v>
      </c>
      <c r="AH68" s="711"/>
      <c r="AI68" s="711" t="s">
        <v>15</v>
      </c>
      <c r="AJ68" s="712"/>
    </row>
    <row r="69" spans="1:36" ht="14.45" hidden="1" customHeight="1" x14ac:dyDescent="0.25">
      <c r="A69" s="19"/>
      <c r="B69" s="86">
        <f>RANK(E69,$E$69:$E$72)</f>
        <v>1</v>
      </c>
      <c r="C69" s="69" t="str">
        <f>C35</f>
        <v>4eme A</v>
      </c>
      <c r="D69" s="69">
        <f>E41-F41+E45-F45+E49-F49</f>
        <v>0</v>
      </c>
      <c r="E69" s="681">
        <f>E35+4/10000000</f>
        <v>3.9999999999999998E-7</v>
      </c>
      <c r="F69" s="682"/>
      <c r="G69" s="774"/>
      <c r="H69" s="86">
        <f>RANK(K69,$K$69:$K$72)</f>
        <v>1</v>
      </c>
      <c r="I69" s="69" t="str">
        <f>I35</f>
        <v>3eme A</v>
      </c>
      <c r="J69" s="69">
        <f>K41-L41+K45-L45+K49-L49</f>
        <v>0</v>
      </c>
      <c r="K69" s="681">
        <f>K35+4/10000000</f>
        <v>3.9999999999999998E-7</v>
      </c>
      <c r="L69" s="682"/>
      <c r="M69" s="76"/>
      <c r="N69" s="86">
        <f>RANK(Q69,$Q$69:$Q$72)</f>
        <v>1</v>
      </c>
      <c r="O69" s="69" t="str">
        <f>O35</f>
        <v>4eme D</v>
      </c>
      <c r="P69" s="69">
        <f>Q41-R41+Q45-R45+Q49-R49</f>
        <v>0</v>
      </c>
      <c r="Q69" s="681">
        <f>Q35+4/10000000</f>
        <v>3.9999999999999998E-7</v>
      </c>
      <c r="R69" s="682"/>
      <c r="S69" s="105"/>
      <c r="T69" s="86">
        <f>RANK(W69,$W$69:$W$72)</f>
        <v>1</v>
      </c>
      <c r="U69" s="69" t="str">
        <f>U35</f>
        <v>2eme A</v>
      </c>
      <c r="V69" s="69">
        <f>W41-X41+W45-X45+W49-X49</f>
        <v>0</v>
      </c>
      <c r="W69" s="681">
        <f>W35+4/10000000</f>
        <v>3.9999999999999998E-7</v>
      </c>
      <c r="X69" s="682"/>
      <c r="Y69" s="76"/>
      <c r="Z69" s="86">
        <f>RANK(AC69,$AC$69:$AC$72)</f>
        <v>1</v>
      </c>
      <c r="AA69" s="69" t="str">
        <f>AA35</f>
        <v>1er A</v>
      </c>
      <c r="AB69" s="69">
        <f>AC41-AD41+AC45-AD45+AC49-AD49</f>
        <v>0</v>
      </c>
      <c r="AC69" s="681">
        <f>AC35+4/10000000</f>
        <v>3.9999999999999998E-7</v>
      </c>
      <c r="AD69" s="682"/>
      <c r="AE69" s="105"/>
      <c r="AF69" s="86">
        <f>RANK(AI69,$AI$69:$AI$72)</f>
        <v>1</v>
      </c>
      <c r="AG69" s="69" t="str">
        <f>AG35</f>
        <v>2eme D</v>
      </c>
      <c r="AH69" s="69">
        <f>AI41-AJ41+AI45-AJ45+AI49-AJ49</f>
        <v>0</v>
      </c>
      <c r="AI69" s="681">
        <f>AI35+4/10000000</f>
        <v>3.9999999999999998E-7</v>
      </c>
      <c r="AJ69" s="682"/>
    </row>
    <row r="70" spans="1:36" ht="14.45" hidden="1" customHeight="1" x14ac:dyDescent="0.25">
      <c r="A70" s="19"/>
      <c r="B70" s="86">
        <f t="shared" ref="B70:B72" si="16">RANK(E70,$E$69:$E$72)</f>
        <v>2</v>
      </c>
      <c r="C70" s="69" t="str">
        <f t="shared" ref="C70:C72" si="17">C36</f>
        <v>4eme B</v>
      </c>
      <c r="D70" s="69">
        <f>F41-E41+E46-F46+E50-F50</f>
        <v>0</v>
      </c>
      <c r="E70" s="681">
        <f>E36+3/10000000</f>
        <v>2.9999999999999999E-7</v>
      </c>
      <c r="F70" s="682"/>
      <c r="G70" s="774"/>
      <c r="H70" s="86">
        <f t="shared" ref="H70:H72" si="18">RANK(K70,$K$69:$K$72)</f>
        <v>2</v>
      </c>
      <c r="I70" s="69" t="str">
        <f t="shared" ref="I70:I72" si="19">I36</f>
        <v>3eme F</v>
      </c>
      <c r="J70" s="69">
        <f>L41-K41+K46-L46+K50-L50</f>
        <v>0</v>
      </c>
      <c r="K70" s="681">
        <f>K36+3/10000000</f>
        <v>2.9999999999999999E-7</v>
      </c>
      <c r="L70" s="682"/>
      <c r="M70" s="76"/>
      <c r="N70" s="86">
        <f t="shared" ref="N70:N72" si="20">RANK(Q70,$Q$69:$Q$72)</f>
        <v>2</v>
      </c>
      <c r="O70" s="69" t="str">
        <f t="shared" ref="O70:O72" si="21">O36</f>
        <v>4eme F</v>
      </c>
      <c r="P70" s="69">
        <f>R41-Q41+Q46-R46+Q50-R50</f>
        <v>0</v>
      </c>
      <c r="Q70" s="681">
        <f>Q36+3/10000000</f>
        <v>2.9999999999999999E-7</v>
      </c>
      <c r="R70" s="682"/>
      <c r="S70" s="105"/>
      <c r="T70" s="86">
        <f t="shared" ref="T70:T72" si="22">RANK(W70,$W$69:$W$72)</f>
        <v>2</v>
      </c>
      <c r="U70" s="69" t="str">
        <f t="shared" ref="U70:U72" si="23">U36</f>
        <v>2eme B</v>
      </c>
      <c r="V70" s="69">
        <f>X41-W41+W46-X46+W50-X50</f>
        <v>0</v>
      </c>
      <c r="W70" s="681">
        <f>W36+3/10000000</f>
        <v>2.9999999999999999E-7</v>
      </c>
      <c r="X70" s="682"/>
      <c r="Y70" s="76"/>
      <c r="Z70" s="86">
        <f>RANK(AC70,$AC$69:$AC$72)</f>
        <v>2</v>
      </c>
      <c r="AA70" s="69" t="str">
        <f t="shared" ref="AA70:AA72" si="24">AA36</f>
        <v>1er F</v>
      </c>
      <c r="AB70" s="69">
        <f>AD41-AC41+AC46-AD46+AC50-AD50</f>
        <v>0</v>
      </c>
      <c r="AC70" s="681">
        <f>AC36+3/10000000</f>
        <v>2.9999999999999999E-7</v>
      </c>
      <c r="AD70" s="682"/>
      <c r="AE70" s="105"/>
      <c r="AF70" s="86">
        <f>RANK(AI70,$AI$69:$AI$72)</f>
        <v>2</v>
      </c>
      <c r="AG70" s="69" t="str">
        <f t="shared" ref="AG70:AG72" si="25">AG36</f>
        <v>2eme F</v>
      </c>
      <c r="AH70" s="69">
        <f>AJ41-AI41+AI46-AJ46+AI50-AJ50</f>
        <v>0</v>
      </c>
      <c r="AI70" s="681">
        <f>AI36+3/10000000</f>
        <v>2.9999999999999999E-7</v>
      </c>
      <c r="AJ70" s="682"/>
    </row>
    <row r="71" spans="1:36" ht="14.45" hidden="1" customHeight="1" x14ac:dyDescent="0.25">
      <c r="A71" s="19"/>
      <c r="B71" s="86">
        <f t="shared" si="16"/>
        <v>3</v>
      </c>
      <c r="C71" s="69" t="str">
        <f t="shared" si="17"/>
        <v>3eme C</v>
      </c>
      <c r="D71" s="69">
        <f>E42-F42+F45-E45+F50-E50</f>
        <v>0</v>
      </c>
      <c r="E71" s="681">
        <f>E37+2/10000000</f>
        <v>1.9999999999999999E-7</v>
      </c>
      <c r="F71" s="682"/>
      <c r="G71" s="774"/>
      <c r="H71" s="86">
        <f t="shared" si="18"/>
        <v>3</v>
      </c>
      <c r="I71" s="69" t="str">
        <f t="shared" si="19"/>
        <v>4eme C</v>
      </c>
      <c r="J71" s="69">
        <f>K42-L42+L45-K45+L50-K50</f>
        <v>0</v>
      </c>
      <c r="K71" s="681">
        <f>K37+2/10000000</f>
        <v>1.9999999999999999E-7</v>
      </c>
      <c r="L71" s="682"/>
      <c r="M71" s="76"/>
      <c r="N71" s="86">
        <f t="shared" si="20"/>
        <v>3</v>
      </c>
      <c r="O71" s="69" t="str">
        <f t="shared" si="21"/>
        <v>3eme B</v>
      </c>
      <c r="P71" s="69">
        <f>Q42-R42+R45-Q45+R50-Q50</f>
        <v>0</v>
      </c>
      <c r="Q71" s="681">
        <f>Q37+2/10000000</f>
        <v>1.9999999999999999E-7</v>
      </c>
      <c r="R71" s="682"/>
      <c r="S71" s="105"/>
      <c r="T71" s="86">
        <f t="shared" si="22"/>
        <v>3</v>
      </c>
      <c r="U71" s="69" t="str">
        <f t="shared" si="23"/>
        <v>1er C</v>
      </c>
      <c r="V71" s="69">
        <f>W42-X42+X45-W45+X50-W50</f>
        <v>0</v>
      </c>
      <c r="W71" s="681">
        <f>W37+2/10000000</f>
        <v>1.9999999999999999E-7</v>
      </c>
      <c r="X71" s="682"/>
      <c r="Y71" s="76"/>
      <c r="Z71" s="86">
        <f>RANK(AC71,$AC$69:$AC$72)</f>
        <v>3</v>
      </c>
      <c r="AA71" s="69" t="str">
        <f t="shared" si="24"/>
        <v>2eme C</v>
      </c>
      <c r="AB71" s="69">
        <f>AC42-AD42+AD45-AC45+AD50-AC50</f>
        <v>0</v>
      </c>
      <c r="AC71" s="681">
        <f>AC37+2/10000000</f>
        <v>1.9999999999999999E-7</v>
      </c>
      <c r="AD71" s="682"/>
      <c r="AE71" s="105"/>
      <c r="AF71" s="86">
        <f>RANK(AI71,$AI$69:$AI$72)</f>
        <v>3</v>
      </c>
      <c r="AG71" s="69" t="str">
        <f t="shared" si="25"/>
        <v>1er B</v>
      </c>
      <c r="AH71" s="69">
        <f>AI42-AJ42+AJ45-AI45+AJ50-AI50</f>
        <v>0</v>
      </c>
      <c r="AI71" s="681">
        <f>AI37+2/10000000</f>
        <v>1.9999999999999999E-7</v>
      </c>
      <c r="AJ71" s="682"/>
    </row>
    <row r="72" spans="1:36" ht="14.45" hidden="1" customHeight="1" thickBot="1" x14ac:dyDescent="0.3">
      <c r="A72" s="19"/>
      <c r="B72" s="87">
        <f t="shared" si="16"/>
        <v>4</v>
      </c>
      <c r="C72" s="88" t="str">
        <f t="shared" si="17"/>
        <v>3eme D</v>
      </c>
      <c r="D72" s="88">
        <f>F42-E42+F46-E46+F49-E49</f>
        <v>0</v>
      </c>
      <c r="E72" s="709">
        <f>E38+1/10000000</f>
        <v>9.9999999999999995E-8</v>
      </c>
      <c r="F72" s="710"/>
      <c r="G72" s="775"/>
      <c r="H72" s="87">
        <f t="shared" si="18"/>
        <v>4</v>
      </c>
      <c r="I72" s="88" t="str">
        <f t="shared" si="19"/>
        <v>4eme E</v>
      </c>
      <c r="J72" s="88">
        <f>L42-K42+L46-K46+L49-K49</f>
        <v>0</v>
      </c>
      <c r="K72" s="709">
        <f>K38+1/10000000</f>
        <v>9.9999999999999995E-8</v>
      </c>
      <c r="L72" s="710"/>
      <c r="M72" s="78"/>
      <c r="N72" s="87">
        <f t="shared" si="20"/>
        <v>4</v>
      </c>
      <c r="O72" s="88" t="str">
        <f t="shared" si="21"/>
        <v>3eme E</v>
      </c>
      <c r="P72" s="88">
        <f>R42-Q42+R46-Q46+R49-Q49</f>
        <v>0</v>
      </c>
      <c r="Q72" s="709">
        <f>Q38+1/10000000</f>
        <v>9.9999999999999995E-8</v>
      </c>
      <c r="R72" s="710"/>
      <c r="S72" s="123"/>
      <c r="T72" s="87">
        <f t="shared" si="22"/>
        <v>4</v>
      </c>
      <c r="U72" s="88" t="str">
        <f t="shared" si="23"/>
        <v>1er D</v>
      </c>
      <c r="V72" s="88">
        <f>X42-W42+X46-W46+X49-W49</f>
        <v>0</v>
      </c>
      <c r="W72" s="709">
        <f>W38+1/10000000</f>
        <v>9.9999999999999995E-8</v>
      </c>
      <c r="X72" s="710"/>
      <c r="Y72" s="78"/>
      <c r="Z72" s="87">
        <f>RANK(AC72,$AC$69:$AC$72)</f>
        <v>4</v>
      </c>
      <c r="AA72" s="88" t="str">
        <f t="shared" si="24"/>
        <v>2eme E</v>
      </c>
      <c r="AB72" s="88">
        <f>AD42-AC42+AD46-AC46+AD49-AC49</f>
        <v>0</v>
      </c>
      <c r="AC72" s="709">
        <f>AC38+1/10000000</f>
        <v>9.9999999999999995E-8</v>
      </c>
      <c r="AD72" s="710"/>
      <c r="AE72" s="123"/>
      <c r="AF72" s="87">
        <f>RANK(AI72,$AI$69:$AI$72)</f>
        <v>4</v>
      </c>
      <c r="AG72" s="88" t="str">
        <f t="shared" si="25"/>
        <v>1er E</v>
      </c>
      <c r="AH72" s="88">
        <f>AJ42-AI42+AJ46-AI46+AJ49-AI49</f>
        <v>0</v>
      </c>
      <c r="AI72" s="709">
        <f>AI38+1/10000000</f>
        <v>9.9999999999999995E-8</v>
      </c>
      <c r="AJ72" s="710"/>
    </row>
    <row r="73" spans="1:36" hidden="1" x14ac:dyDescent="0.25">
      <c r="B73" s="700"/>
      <c r="C73" s="700"/>
      <c r="D73" s="700"/>
      <c r="E73" s="700"/>
      <c r="F73" s="700"/>
      <c r="G73" s="700"/>
      <c r="H73" s="700"/>
      <c r="I73" s="700"/>
      <c r="J73" s="700"/>
      <c r="K73" s="700"/>
      <c r="L73" s="700"/>
      <c r="M73" s="700"/>
      <c r="N73" s="700"/>
      <c r="O73" s="700"/>
      <c r="P73" s="700"/>
      <c r="Q73" s="700"/>
      <c r="R73" s="700"/>
    </row>
    <row r="74" spans="1:36" hidden="1" x14ac:dyDescent="0.25">
      <c r="B74" s="1">
        <f>IF(E14="",0,(IF(E14&gt;F14,3,IF(E14=F14,1,0))))</f>
        <v>0</v>
      </c>
      <c r="C74" s="1">
        <f>IF(F14="",0,(IF(F14&gt;E14,3,IF(F14=E14,1,0))))</f>
        <v>0</v>
      </c>
      <c r="H74" s="1">
        <f>IF(K14="",0,(IF(K14&gt;L14,3,IF(K14=L14,1,0))))</f>
        <v>0</v>
      </c>
      <c r="I74" s="1">
        <f>IF(L14="",0,(IF(L14&gt;K14,3,IF(L14=K14,1,0))))</f>
        <v>0</v>
      </c>
      <c r="N74" s="1">
        <f>IF(Q14="",0,(IF(Q14&gt;R14,3,IF(Q14=R14,1,0))))</f>
        <v>0</v>
      </c>
      <c r="O74" s="1">
        <f>IF(R14="",0,(IF(R14&gt;Q14,3,IF(R14=Q14,1,0))))</f>
        <v>0</v>
      </c>
      <c r="T74" s="1">
        <f>IF(W14="",0,(IF(W14&gt;X14,3,IF(W14=X14,1,0))))</f>
        <v>0</v>
      </c>
      <c r="U74" s="1">
        <f>IF(X14="",0,(IF(X14&gt;W14,3,IF(X14=W14,1,0))))</f>
        <v>0</v>
      </c>
      <c r="Z74" s="1">
        <f>IF(AC14="",0,(IF(AC14&gt;AD14,3,IF(AC14=AD14,1,0))))</f>
        <v>0</v>
      </c>
      <c r="AA74" s="1">
        <f>IF(AD14="",0,(IF(AD14&gt;AC14,3,IF(AD14=AC14,1,0))))</f>
        <v>0</v>
      </c>
      <c r="AF74" s="1">
        <f>IF(AI14="",0,(IF(AI14&gt;AJ14,3,IF(AI14=AJ14,1,0))))</f>
        <v>0</v>
      </c>
      <c r="AG74" s="1">
        <f>IF(AJ14="",0,(IF(AJ14&gt;AI14,3,IF(AJ14=AI14,1,0))))</f>
        <v>0</v>
      </c>
    </row>
    <row r="75" spans="1:36" hidden="1" x14ac:dyDescent="0.25">
      <c r="B75" s="1">
        <f>IF(E15="",0,(IF(E15&gt;F15,3,IF(E15=F15,1,0))))</f>
        <v>0</v>
      </c>
      <c r="C75" s="1">
        <f>IF(F15="",0,(IF(F15&gt;E15,3,IF(F15=E15,1,0))))</f>
        <v>0</v>
      </c>
      <c r="H75" s="1">
        <f>IF(K15="",0,(IF(K15&gt;L15,3,IF(K15=L15,1,0))))</f>
        <v>0</v>
      </c>
      <c r="I75" s="1">
        <f>IF(L15="",0,(IF(L15&gt;K15,3,IF(L15=K15,1,0))))</f>
        <v>0</v>
      </c>
      <c r="N75" s="1">
        <f>IF(Q15="",0,(IF(Q15&gt;R15,3,IF(Q15=R15,1,0))))</f>
        <v>0</v>
      </c>
      <c r="O75" s="1">
        <f>IF(R15="",0,(IF(R15&gt;Q15,3,IF(R15=Q15,1,0))))</f>
        <v>0</v>
      </c>
      <c r="T75" s="1">
        <f>IF(W15="",0,(IF(W15&gt;X15,3,IF(W15=X15,1,0))))</f>
        <v>0</v>
      </c>
      <c r="U75" s="1">
        <f>IF(X15="",0,(IF(X15&gt;W15,3,IF(X15=W15,1,0))))</f>
        <v>0</v>
      </c>
      <c r="Z75" s="1">
        <f>IF(AC15="",0,(IF(AC15&gt;AD15,3,IF(AC15=AD15,1,0))))</f>
        <v>0</v>
      </c>
      <c r="AA75" s="1">
        <f>IF(AD15="",0,(IF(AD15&gt;AC15,3,IF(AD15=AC15,1,0))))</f>
        <v>0</v>
      </c>
      <c r="AF75" s="1">
        <f>IF(AI15="",0,(IF(AI15&gt;AJ15,3,IF(AI15=AJ15,1,0))))</f>
        <v>0</v>
      </c>
      <c r="AG75" s="1">
        <f>IF(AJ15="",0,(IF(AJ15&gt;AI15,3,IF(AJ15=AI15,1,0))))</f>
        <v>0</v>
      </c>
    </row>
    <row r="76" spans="1:36" hidden="1" x14ac:dyDescent="0.25"/>
    <row r="77" spans="1:36" hidden="1" x14ac:dyDescent="0.25"/>
    <row r="78" spans="1:36" hidden="1" x14ac:dyDescent="0.25">
      <c r="B78" s="1">
        <f>IF(E18="",0,(IF(E18&gt;F18,3,IF(E18=F18,1,0))))</f>
        <v>0</v>
      </c>
      <c r="C78" s="1">
        <f>IF(F18="",0,(IF(F18&gt;E18,3,IF(F18=E18,1,0))))</f>
        <v>0</v>
      </c>
      <c r="H78" s="1">
        <f>IF(K18="",0,(IF(K18&gt;L18,3,IF(K18=L18,1,0))))</f>
        <v>0</v>
      </c>
      <c r="I78" s="1">
        <f>IF(L18="",0,(IF(L18&gt;K18,3,IF(L18=K18,1,0))))</f>
        <v>0</v>
      </c>
      <c r="N78" s="1">
        <f>IF(Q18="",0,(IF(Q18&gt;R18,3,IF(Q18=R18,1,0))))</f>
        <v>0</v>
      </c>
      <c r="O78" s="1">
        <f>IF(R18="",0,(IF(R18&gt;Q18,3,IF(R18=Q18,1,0))))</f>
        <v>0</v>
      </c>
      <c r="T78" s="1">
        <f>IF(W18="",0,(IF(W18&gt;X18,3,IF(W18=X18,1,0))))</f>
        <v>0</v>
      </c>
      <c r="U78" s="1">
        <f>IF(X18="",0,(IF(X18&gt;W18,3,IF(X18=W18,1,0))))</f>
        <v>0</v>
      </c>
      <c r="Z78" s="1">
        <f>IF(AC18="",0,(IF(AC18&gt;AD18,3,IF(AC18=AD18,1,0))))</f>
        <v>0</v>
      </c>
      <c r="AA78" s="1">
        <f>IF(AD18="",0,(IF(AD18&gt;AC18,3,IF(AD18=AC18,1,0))))</f>
        <v>0</v>
      </c>
      <c r="AF78" s="1">
        <f>IF(AI18="",0,(IF(AI18&gt;AJ18,3,IF(AI18=AJ18,1,0))))</f>
        <v>0</v>
      </c>
      <c r="AG78" s="1">
        <f>IF(AJ18="",0,(IF(AJ18&gt;AI18,3,IF(AJ18=AI18,1,0))))</f>
        <v>0</v>
      </c>
    </row>
    <row r="79" spans="1:36" hidden="1" x14ac:dyDescent="0.25">
      <c r="B79" s="1">
        <f>IF(E19="",0,(IF(E19&gt;F19,3,IF(E19=F19,1,0))))</f>
        <v>0</v>
      </c>
      <c r="C79" s="1">
        <f>IF(F19="",0,(IF(F19&gt;E19,3,IF(F19=E19,1,0))))</f>
        <v>0</v>
      </c>
      <c r="H79" s="1">
        <f>IF(K19="",0,(IF(K19&gt;L19,3,IF(K19=L19,1,0))))</f>
        <v>0</v>
      </c>
      <c r="I79" s="1">
        <f>IF(L19="",0,(IF(L19&gt;K19,3,IF(L19=K19,1,0))))</f>
        <v>0</v>
      </c>
      <c r="N79" s="1">
        <f>IF(Q19="",0,(IF(Q19&gt;R19,3,IF(Q19=R19,1,0))))</f>
        <v>0</v>
      </c>
      <c r="O79" s="1">
        <f>IF(R19="",0,(IF(R19&gt;Q19,3,IF(R19=Q19,1,0))))</f>
        <v>0</v>
      </c>
      <c r="T79" s="1">
        <f>IF(W19="",0,(IF(W19&gt;X19,3,IF(W19=X19,1,0))))</f>
        <v>0</v>
      </c>
      <c r="U79" s="1">
        <f>IF(X19="",0,(IF(X19&gt;W19,3,IF(X19=W19,1,0))))</f>
        <v>0</v>
      </c>
      <c r="Z79" s="1">
        <f>IF(AC19="",0,(IF(AC19&gt;AD19,3,IF(AC19=AD19,1,0))))</f>
        <v>0</v>
      </c>
      <c r="AA79" s="1">
        <f>IF(AD19="",0,(IF(AD19&gt;AC19,3,IF(AD19=AC19,1,0))))</f>
        <v>0</v>
      </c>
      <c r="AF79" s="1">
        <f>IF(AI19="",0,(IF(AI19&gt;AJ19,3,IF(AI19=AJ19,1,0))))</f>
        <v>0</v>
      </c>
      <c r="AG79" s="1">
        <f>IF(AJ19="",0,(IF(AJ19&gt;AI19,3,IF(AJ19=AI19,1,0))))</f>
        <v>0</v>
      </c>
    </row>
    <row r="80" spans="1:36" hidden="1" x14ac:dyDescent="0.25"/>
    <row r="81" spans="2:33" hidden="1" x14ac:dyDescent="0.25"/>
    <row r="82" spans="2:33" hidden="1" x14ac:dyDescent="0.25">
      <c r="B82" s="1">
        <f>IF(E22="",0,(IF(E22&gt;F22,3,IF(E22=F22,1,0))))</f>
        <v>0</v>
      </c>
      <c r="C82" s="1">
        <f>IF(F22="",0,(IF(F22&gt;E22,3,IF(F22=E22,1,0))))</f>
        <v>0</v>
      </c>
      <c r="H82" s="1">
        <f>IF(K22="",0,(IF(K22&gt;L22,3,IF(K22=L22,1,0))))</f>
        <v>0</v>
      </c>
      <c r="I82" s="1">
        <f>IF(L22="",0,(IF(L22&gt;K22,3,IF(L22=K22,1,0))))</f>
        <v>0</v>
      </c>
      <c r="N82" s="1">
        <f>IF(Q22="",0,(IF(Q22&gt;R22,3,IF(Q22=R22,1,0))))</f>
        <v>0</v>
      </c>
      <c r="O82" s="1">
        <f>IF(R22="",0,(IF(R22&gt;Q22,3,IF(R22=Q22,1,0))))</f>
        <v>0</v>
      </c>
      <c r="T82" s="1">
        <f>IF(W22="",0,(IF(W22&gt;X22,3,IF(W22=X22,1,0))))</f>
        <v>0</v>
      </c>
      <c r="U82" s="1">
        <f>IF(X22="",0,(IF(X22&gt;W22,3,IF(X22=W22,1,0))))</f>
        <v>0</v>
      </c>
      <c r="Z82" s="1">
        <f>IF(AC22="",0,(IF(AC22&gt;AD22,3,IF(AC22=AD22,1,0))))</f>
        <v>0</v>
      </c>
      <c r="AA82" s="1">
        <f>IF(AD22="",0,(IF(AD22&gt;AC22,3,IF(AD22=AC22,1,0))))</f>
        <v>0</v>
      </c>
      <c r="AF82" s="1">
        <f>IF(AI22="",0,(IF(AI22&gt;AJ22,3,IF(AI22=AJ22,1,0))))</f>
        <v>0</v>
      </c>
      <c r="AG82" s="1">
        <f>IF(AJ22="",0,(IF(AJ22&gt;AI22,3,IF(AJ22=AI22,1,0))))</f>
        <v>0</v>
      </c>
    </row>
    <row r="83" spans="2:33" hidden="1" x14ac:dyDescent="0.25">
      <c r="B83" s="1">
        <f>IF(E23="",0,(IF(E23&gt;F23,3,IF(E23=F23,1,0))))</f>
        <v>0</v>
      </c>
      <c r="C83" s="1">
        <f>IF(F23="",0,(IF(F23&gt;E23,3,IF(F23=E23,1,0))))</f>
        <v>0</v>
      </c>
      <c r="H83" s="1">
        <f>IF(K23="",0,(IF(K23&gt;L23,3,IF(K23=L23,1,0))))</f>
        <v>0</v>
      </c>
      <c r="I83" s="1">
        <f>IF(L23="",0,(IF(L23&gt;K23,3,IF(L23=K23,1,0))))</f>
        <v>0</v>
      </c>
      <c r="N83" s="1">
        <f>IF(Q23="",0,(IF(Q23&gt;R23,3,IF(Q23=R23,1,0))))</f>
        <v>0</v>
      </c>
      <c r="O83" s="1">
        <f>IF(R23="",0,(IF(R23&gt;Q23,3,IF(R23=Q23,1,0))))</f>
        <v>0</v>
      </c>
      <c r="T83" s="1">
        <f>IF(W23="",0,(IF(W23&gt;X23,3,IF(W23=X23,1,0))))</f>
        <v>0</v>
      </c>
      <c r="U83" s="1">
        <f>IF(X23="",0,(IF(X23&gt;W23,3,IF(X23=W23,1,0))))</f>
        <v>0</v>
      </c>
      <c r="Z83" s="1">
        <f>IF(AC23="",0,(IF(AC23&gt;AD23,3,IF(AC23=AD23,1,0))))</f>
        <v>0</v>
      </c>
      <c r="AA83" s="1">
        <f>IF(AD23="",0,(IF(AD23&gt;AC23,3,IF(AD23=AC23,1,0))))</f>
        <v>0</v>
      </c>
      <c r="AF83" s="1">
        <f>IF(AI23="",0,(IF(AI23&gt;AJ23,3,IF(AI23=AJ23,1,0))))</f>
        <v>0</v>
      </c>
      <c r="AG83" s="1">
        <f>IF(AJ23="",0,(IF(AJ23&gt;AI23,3,IF(AJ23=AI23,1,0))))</f>
        <v>0</v>
      </c>
    </row>
    <row r="84" spans="2:33" hidden="1" x14ac:dyDescent="0.25"/>
    <row r="85" spans="2:33" hidden="1" x14ac:dyDescent="0.25"/>
    <row r="86" spans="2:33" hidden="1" x14ac:dyDescent="0.25"/>
    <row r="87" spans="2:33" hidden="1" x14ac:dyDescent="0.25"/>
    <row r="88" spans="2:33" hidden="1" x14ac:dyDescent="0.25"/>
    <row r="89" spans="2:33" hidden="1" x14ac:dyDescent="0.25"/>
    <row r="90" spans="2:33" hidden="1" x14ac:dyDescent="0.25"/>
    <row r="91" spans="2:33" hidden="1" x14ac:dyDescent="0.25"/>
    <row r="92" spans="2:33" hidden="1" x14ac:dyDescent="0.25"/>
    <row r="93" spans="2:33" hidden="1" x14ac:dyDescent="0.25"/>
    <row r="94" spans="2:33" hidden="1" x14ac:dyDescent="0.25"/>
    <row r="95" spans="2:33" hidden="1" x14ac:dyDescent="0.25"/>
    <row r="96" spans="2:33" hidden="1" x14ac:dyDescent="0.25"/>
    <row r="97" spans="2:33" hidden="1" x14ac:dyDescent="0.25"/>
    <row r="98" spans="2:33" hidden="1" x14ac:dyDescent="0.25"/>
    <row r="99" spans="2:33" hidden="1" x14ac:dyDescent="0.25"/>
    <row r="100" spans="2:33" hidden="1" x14ac:dyDescent="0.25">
      <c r="B100" s="1">
        <f>IF(E41="",0,(IF(E41&gt;F41,3,IF(E41=F41,1,0))))</f>
        <v>0</v>
      </c>
      <c r="C100" s="1">
        <f>IF(F41="",0,(IF(F41&gt;E41,3,IF(F41=E41,1,0))))</f>
        <v>0</v>
      </c>
      <c r="H100" s="1">
        <f>IF(K41="",0,(IF(K41&gt;L41,3,IF(K41=L41,1,0))))</f>
        <v>0</v>
      </c>
      <c r="I100" s="1">
        <f>IF(L41="",0,(IF(L41&gt;K41,3,IF(L41=K41,1,0))))</f>
        <v>0</v>
      </c>
      <c r="N100" s="1">
        <f>IF(Q41="",0,(IF(Q41&gt;R41,3,IF(Q41=R41,1,0))))</f>
        <v>0</v>
      </c>
      <c r="O100" s="1">
        <f>IF(R41="",0,(IF(R41&gt;Q41,3,IF(R41=Q41,1,0))))</f>
        <v>0</v>
      </c>
      <c r="T100" s="1">
        <f>IF(W41="",0,(IF(W41&gt;X41,3,IF(W41=X41,1,0))))</f>
        <v>0</v>
      </c>
      <c r="U100" s="1">
        <f>IF(X41="",0,(IF(X41&gt;W41,3,IF(X41=W41,1,0))))</f>
        <v>0</v>
      </c>
      <c r="Z100" s="1">
        <f>IF(AC41="",0,(IF(AC41&gt;AD41,3,IF(AC41=AD41,1,0))))</f>
        <v>0</v>
      </c>
      <c r="AA100" s="1">
        <f>IF(AD41="",0,(IF(AD41&gt;AC41,3,IF(AD41=AC41,1,0))))</f>
        <v>0</v>
      </c>
      <c r="AF100" s="1">
        <f>IF(AI41="",0,(IF(AI41&gt;AJ41,3,IF(AI41=AJ41,1,0))))</f>
        <v>0</v>
      </c>
      <c r="AG100" s="1">
        <f>IF(AJ41="",0,(IF(AJ41&gt;AI41,3,IF(AJ41=AI41,1,0))))</f>
        <v>0</v>
      </c>
    </row>
    <row r="101" spans="2:33" hidden="1" x14ac:dyDescent="0.25">
      <c r="B101" s="1">
        <f>IF(E42="",0,(IF(E42&gt;F42,3,IF(E42=F42,1,0))))</f>
        <v>0</v>
      </c>
      <c r="C101" s="1">
        <f>IF(F42="",0,(IF(F42&gt;E42,3,IF(F42=E42,1,0))))</f>
        <v>0</v>
      </c>
      <c r="H101" s="1">
        <f>IF(K42="",0,(IF(K42&gt;L42,3,IF(K42=L42,1,0))))</f>
        <v>0</v>
      </c>
      <c r="I101" s="1">
        <f>IF(L42="",0,(IF(L42&gt;K42,3,IF(L42=K42,1,0))))</f>
        <v>0</v>
      </c>
      <c r="N101" s="1">
        <f>IF(Q42="",0,(IF(Q42&gt;R42,3,IF(Q42=R42,1,0))))</f>
        <v>0</v>
      </c>
      <c r="O101" s="1">
        <f>IF(R42="",0,(IF(R42&gt;Q42,3,IF(R42=Q42,1,0))))</f>
        <v>0</v>
      </c>
      <c r="T101" s="1">
        <f>IF(W42="",0,(IF(W42&gt;X42,3,IF(W42=X42,1,0))))</f>
        <v>0</v>
      </c>
      <c r="U101" s="1">
        <f>IF(X42="",0,(IF(X42&gt;W42,3,IF(X42=W42,1,0))))</f>
        <v>0</v>
      </c>
      <c r="Z101" s="1">
        <f>IF(AC42="",0,(IF(AC42&gt;AD42,3,IF(AC42=AD42,1,0))))</f>
        <v>0</v>
      </c>
      <c r="AA101" s="1">
        <f>IF(AD42="",0,(IF(AD42&gt;AC42,3,IF(AD42=AC42,1,0))))</f>
        <v>0</v>
      </c>
      <c r="AF101" s="1">
        <f>IF(AI42="",0,(IF(AI42&gt;AJ42,3,IF(AI42=AJ42,1,0))))</f>
        <v>0</v>
      </c>
      <c r="AG101" s="1">
        <f>IF(AJ42="",0,(IF(AJ42&gt;AI42,3,IF(AJ42=AI42,1,0))))</f>
        <v>0</v>
      </c>
    </row>
    <row r="102" spans="2:33" hidden="1" x14ac:dyDescent="0.25"/>
    <row r="103" spans="2:33" hidden="1" x14ac:dyDescent="0.25"/>
    <row r="104" spans="2:33" hidden="1" x14ac:dyDescent="0.25">
      <c r="B104" s="1">
        <f>IF(E45="",0,(IF(E45&gt;F45,3,IF(E45=F45,1,0))))</f>
        <v>0</v>
      </c>
      <c r="C104" s="1">
        <f>IF(F45="",0,(IF(F45&gt;E45,3,IF(F45=E45,1,0))))</f>
        <v>0</v>
      </c>
      <c r="H104" s="1">
        <f>IF(K45="",0,(IF(K45&gt;L45,3,IF(K45=L45,1,0))))</f>
        <v>0</v>
      </c>
      <c r="I104" s="1">
        <f>IF(L45="",0,(IF(L45&gt;K45,3,IF(L45=K45,1,0))))</f>
        <v>0</v>
      </c>
      <c r="N104" s="1">
        <f>IF(Q45="",0,(IF(Q45&gt;R45,3,IF(Q45=R45,1,0))))</f>
        <v>0</v>
      </c>
      <c r="O104" s="1">
        <f>IF(R45="",0,(IF(R45&gt;Q45,3,IF(R45=Q45,1,0))))</f>
        <v>0</v>
      </c>
      <c r="T104" s="1">
        <f>IF(W45="",0,(IF(W45&gt;X45,3,IF(W45=X45,1,0))))</f>
        <v>0</v>
      </c>
      <c r="U104" s="1">
        <f>IF(X45="",0,(IF(X45&gt;W45,3,IF(X45=W45,1,0))))</f>
        <v>0</v>
      </c>
      <c r="Z104" s="1">
        <f>IF(AC45="",0,(IF(AC45&gt;AD45,3,IF(AC45=AD45,1,0))))</f>
        <v>0</v>
      </c>
      <c r="AA104" s="1">
        <f>IF(AD45="",0,(IF(AD45&gt;AC45,3,IF(AD45=AC45,1,0))))</f>
        <v>0</v>
      </c>
      <c r="AF104" s="1">
        <f>IF(AI45="",0,(IF(AI45&gt;AJ45,3,IF(AI45=AJ45,1,0))))</f>
        <v>0</v>
      </c>
      <c r="AG104" s="1">
        <f>IF(AJ45="",0,(IF(AJ45&gt;AI45,3,IF(AJ45=AI45,1,0))))</f>
        <v>0</v>
      </c>
    </row>
    <row r="105" spans="2:33" hidden="1" x14ac:dyDescent="0.25">
      <c r="B105" s="1">
        <f>IF(E46="",0,(IF(E46&gt;F46,3,IF(E46=F46,1,0))))</f>
        <v>0</v>
      </c>
      <c r="C105" s="1">
        <f>IF(F46="",0,(IF(F46&gt;E46,3,IF(F46=E46,1,0))))</f>
        <v>0</v>
      </c>
      <c r="H105" s="1">
        <f>IF(K46="",0,(IF(K46&gt;L46,3,IF(K46=L46,1,0))))</f>
        <v>0</v>
      </c>
      <c r="I105" s="1">
        <f>IF(L46="",0,(IF(L46&gt;K46,3,IF(L46=K46,1,0))))</f>
        <v>0</v>
      </c>
      <c r="N105" s="1">
        <f>IF(Q46="",0,(IF(Q46&gt;R46,3,IF(Q46=R46,1,0))))</f>
        <v>0</v>
      </c>
      <c r="O105" s="1">
        <f>IF(R46="",0,(IF(R46&gt;Q46,3,IF(R46=Q46,1,0))))</f>
        <v>0</v>
      </c>
      <c r="T105" s="1">
        <f>IF(W46="",0,(IF(W46&gt;X46,3,IF(W46=X46,1,0))))</f>
        <v>0</v>
      </c>
      <c r="U105" s="1">
        <f>IF(X46="",0,(IF(X46&gt;W46,3,IF(X46=W46,1,0))))</f>
        <v>0</v>
      </c>
      <c r="Z105" s="1">
        <f>IF(AC46="",0,(IF(AC46&gt;AD46,3,IF(AC46=AD46,1,0))))</f>
        <v>0</v>
      </c>
      <c r="AA105" s="1">
        <f>IF(AD46="",0,(IF(AD46&gt;AC46,3,IF(AD46=AC46,1,0))))</f>
        <v>0</v>
      </c>
      <c r="AF105" s="1">
        <f>IF(AI46="",0,(IF(AI46&gt;AJ46,3,IF(AI46=AJ46,1,0))))</f>
        <v>0</v>
      </c>
      <c r="AG105" s="1">
        <f>IF(AJ46="",0,(IF(AJ46&gt;AI46,3,IF(AJ46=AI46,1,0))))</f>
        <v>0</v>
      </c>
    </row>
    <row r="106" spans="2:33" hidden="1" x14ac:dyDescent="0.25"/>
    <row r="107" spans="2:33" hidden="1" x14ac:dyDescent="0.25"/>
    <row r="108" spans="2:33" hidden="1" x14ac:dyDescent="0.25">
      <c r="B108" s="1">
        <f>IF(E49="",0,(IF(E49&gt;F49,3,IF(E49=F49,1,0))))</f>
        <v>0</v>
      </c>
      <c r="C108" s="1">
        <f>IF(F49="",0,(IF(F49&gt;E49,3,IF(F49=E49,1,0))))</f>
        <v>0</v>
      </c>
      <c r="H108" s="1">
        <f>IF(K49="",0,(IF(K49&gt;L49,3,IF(K49=L49,1,0))))</f>
        <v>0</v>
      </c>
      <c r="I108" s="1">
        <f>IF(L49="",0,(IF(L49&gt;K49,3,IF(L49=K49,1,0))))</f>
        <v>0</v>
      </c>
      <c r="N108" s="1">
        <f>IF(Q49="",0,(IF(Q49&gt;R49,3,IF(Q49=R49,1,0))))</f>
        <v>0</v>
      </c>
      <c r="O108" s="1">
        <f>IF(R49="",0,(IF(R49&gt;Q49,3,IF(R49=Q49,1,0))))</f>
        <v>0</v>
      </c>
      <c r="T108" s="1">
        <f>IF(W49="",0,(IF(W49&gt;X49,3,IF(W49=X49,1,0))))</f>
        <v>0</v>
      </c>
      <c r="U108" s="1">
        <f>IF(X49="",0,(IF(X49&gt;W49,3,IF(X49=W49,1,0))))</f>
        <v>0</v>
      </c>
      <c r="Z108" s="1">
        <f>IF(AC49="",0,(IF(AC49&gt;AD49,3,IF(AC49=AD49,1,0))))</f>
        <v>0</v>
      </c>
      <c r="AA108" s="1">
        <f>IF(AD49="",0,(IF(AD49&gt;AC49,3,IF(AD49=AC49,1,0))))</f>
        <v>0</v>
      </c>
      <c r="AF108" s="1">
        <f>IF(AI49="",0,(IF(AI49&gt;AJ49,3,IF(AI49=AJ49,1,0))))</f>
        <v>0</v>
      </c>
      <c r="AG108" s="1">
        <f>IF(AJ49="",0,(IF(AJ49&gt;AI49,3,IF(AJ49=AI49,1,0))))</f>
        <v>0</v>
      </c>
    </row>
    <row r="109" spans="2:33" hidden="1" x14ac:dyDescent="0.25">
      <c r="B109" s="1">
        <f>IF(E50="",0,(IF(E50&gt;F50,3,IF(E50=F50,1,0))))</f>
        <v>0</v>
      </c>
      <c r="C109" s="1">
        <f>IF(F50="",0,(IF(F50&gt;E50,3,IF(F50=E50,1,0))))</f>
        <v>0</v>
      </c>
      <c r="H109" s="1">
        <f>IF(K50="",0,(IF(K50&gt;L50,3,IF(K50=L50,1,0))))</f>
        <v>0</v>
      </c>
      <c r="I109" s="1">
        <f>IF(L50="",0,(IF(L50&gt;K50,3,IF(L50=K50,1,0))))</f>
        <v>0</v>
      </c>
      <c r="N109" s="1">
        <f>IF(Q50="",0,(IF(Q50&gt;R50,3,IF(Q50=R50,1,0))))</f>
        <v>0</v>
      </c>
      <c r="O109" s="1">
        <f>IF(R50="",0,(IF(R50&gt;Q50,3,IF(R50=Q50,1,0))))</f>
        <v>0</v>
      </c>
      <c r="T109" s="1">
        <f>IF(W50="",0,(IF(W50&gt;X50,3,IF(W50=X50,1,0))))</f>
        <v>0</v>
      </c>
      <c r="U109" s="1">
        <f>IF(X50="",0,(IF(X50&gt;W50,3,IF(X50=W50,1,0))))</f>
        <v>0</v>
      </c>
      <c r="Z109" s="1">
        <f>IF(AC50="",0,(IF(AC50&gt;AD50,3,IF(AC50=AD50,1,0))))</f>
        <v>0</v>
      </c>
      <c r="AA109" s="1">
        <f>IF(AD50="",0,(IF(AD50&gt;AC50,3,IF(AD50=AC50,1,0))))</f>
        <v>0</v>
      </c>
      <c r="AF109" s="1">
        <f>IF(AI50="",0,(IF(AI50&gt;AJ50,3,IF(AI50=AJ50,1,0))))</f>
        <v>0</v>
      </c>
      <c r="AG109" s="1">
        <f>IF(AJ50="",0,(IF(AJ50&gt;AI50,3,IF(AJ50=AI50,1,0))))</f>
        <v>0</v>
      </c>
    </row>
  </sheetData>
  <sheetProtection sheet="1" scenarios="1" selectLockedCells="1"/>
  <mergeCells count="409">
    <mergeCell ref="B25:AJ25"/>
    <mergeCell ref="AC69:AD69"/>
    <mergeCell ref="AI69:AJ69"/>
    <mergeCell ref="AC70:AD70"/>
    <mergeCell ref="AI70:AJ70"/>
    <mergeCell ref="AA57:AB57"/>
    <mergeCell ref="AG54:AH54"/>
    <mergeCell ref="AI54:AJ54"/>
    <mergeCell ref="AA55:AB55"/>
    <mergeCell ref="AC55:AD55"/>
    <mergeCell ref="AG55:AH55"/>
    <mergeCell ref="AI55:AJ55"/>
    <mergeCell ref="AG48:AH48"/>
    <mergeCell ref="AI48:AJ48"/>
    <mergeCell ref="AA53:AB53"/>
    <mergeCell ref="AC53:AD53"/>
    <mergeCell ref="AG53:AH53"/>
    <mergeCell ref="AI53:AJ53"/>
    <mergeCell ref="AG40:AH40"/>
    <mergeCell ref="AI40:AJ40"/>
    <mergeCell ref="AA44:AB44"/>
    <mergeCell ref="AC44:AD44"/>
    <mergeCell ref="AG44:AH44"/>
    <mergeCell ref="AI44:AJ44"/>
    <mergeCell ref="AC71:AD71"/>
    <mergeCell ref="AI71:AJ71"/>
    <mergeCell ref="AC63:AD63"/>
    <mergeCell ref="AI63:AJ63"/>
    <mergeCell ref="AC64:AD64"/>
    <mergeCell ref="AI64:AJ64"/>
    <mergeCell ref="AC65:AD65"/>
    <mergeCell ref="AI65:AJ65"/>
    <mergeCell ref="AG56:AH56"/>
    <mergeCell ref="AI56:AJ56"/>
    <mergeCell ref="AC57:AD57"/>
    <mergeCell ref="AG57:AH57"/>
    <mergeCell ref="AI57:AJ57"/>
    <mergeCell ref="B59:AJ59"/>
    <mergeCell ref="B61:AJ61"/>
    <mergeCell ref="B67:AJ67"/>
    <mergeCell ref="C68:D68"/>
    <mergeCell ref="E68:F68"/>
    <mergeCell ref="E64:F64"/>
    <mergeCell ref="K64:L64"/>
    <mergeCell ref="Q64:R64"/>
    <mergeCell ref="W64:X64"/>
    <mergeCell ref="E65:F65"/>
    <mergeCell ref="K65:L65"/>
    <mergeCell ref="AG37:AH37"/>
    <mergeCell ref="AI37:AJ37"/>
    <mergeCell ref="AA38:AB38"/>
    <mergeCell ref="AC38:AD38"/>
    <mergeCell ref="AG38:AH38"/>
    <mergeCell ref="AI38:AJ38"/>
    <mergeCell ref="AG35:AH35"/>
    <mergeCell ref="AI35:AJ35"/>
    <mergeCell ref="AA36:AB36"/>
    <mergeCell ref="AC36:AD36"/>
    <mergeCell ref="AG36:AH36"/>
    <mergeCell ref="AI36:AJ36"/>
    <mergeCell ref="AC30:AD30"/>
    <mergeCell ref="AG30:AH30"/>
    <mergeCell ref="AI30:AJ30"/>
    <mergeCell ref="AB33:AJ33"/>
    <mergeCell ref="AA34:AB34"/>
    <mergeCell ref="AC34:AD34"/>
    <mergeCell ref="AG34:AH34"/>
    <mergeCell ref="AI34:AJ34"/>
    <mergeCell ref="AA35:AB35"/>
    <mergeCell ref="AC35:AD35"/>
    <mergeCell ref="AA30:AB30"/>
    <mergeCell ref="A31:AJ31"/>
    <mergeCell ref="C35:D35"/>
    <mergeCell ref="E35:F35"/>
    <mergeCell ref="I35:J35"/>
    <mergeCell ref="K35:L35"/>
    <mergeCell ref="O35:P35"/>
    <mergeCell ref="Q35:R35"/>
    <mergeCell ref="U35:V35"/>
    <mergeCell ref="W35:X35"/>
    <mergeCell ref="B33:I33"/>
    <mergeCell ref="K33:M33"/>
    <mergeCell ref="P33:X33"/>
    <mergeCell ref="C34:D34"/>
    <mergeCell ref="AG28:AH28"/>
    <mergeCell ref="AI28:AJ28"/>
    <mergeCell ref="AA29:AB29"/>
    <mergeCell ref="AC29:AD29"/>
    <mergeCell ref="AG29:AH29"/>
    <mergeCell ref="AI29:AJ29"/>
    <mergeCell ref="AG26:AH26"/>
    <mergeCell ref="AI26:AJ26"/>
    <mergeCell ref="AA27:AB27"/>
    <mergeCell ref="AC27:AD27"/>
    <mergeCell ref="AG27:AH27"/>
    <mergeCell ref="AI27:AJ27"/>
    <mergeCell ref="AA28:AB28"/>
    <mergeCell ref="AC28:AD28"/>
    <mergeCell ref="AA26:AB26"/>
    <mergeCell ref="AC26:AD26"/>
    <mergeCell ref="AG17:AH17"/>
    <mergeCell ref="AI17:AJ17"/>
    <mergeCell ref="AA21:AB21"/>
    <mergeCell ref="AC21:AD21"/>
    <mergeCell ref="AG21:AH21"/>
    <mergeCell ref="AI21:AJ21"/>
    <mergeCell ref="AG11:AH11"/>
    <mergeCell ref="AI11:AJ11"/>
    <mergeCell ref="AA13:AB13"/>
    <mergeCell ref="AC13:AD13"/>
    <mergeCell ref="AG13:AH13"/>
    <mergeCell ref="AI13:AJ13"/>
    <mergeCell ref="AA17:AB17"/>
    <mergeCell ref="AC17:AD17"/>
    <mergeCell ref="AA11:AB11"/>
    <mergeCell ref="AC11:AD11"/>
    <mergeCell ref="AG9:AH9"/>
    <mergeCell ref="AI9:AJ9"/>
    <mergeCell ref="AA10:AB10"/>
    <mergeCell ref="AC10:AD10"/>
    <mergeCell ref="AG10:AH10"/>
    <mergeCell ref="AI10:AJ10"/>
    <mergeCell ref="AG7:AH7"/>
    <mergeCell ref="AI7:AJ7"/>
    <mergeCell ref="AA8:AB8"/>
    <mergeCell ref="AC8:AD8"/>
    <mergeCell ref="AG8:AH8"/>
    <mergeCell ref="AI8:AJ8"/>
    <mergeCell ref="AA9:AB9"/>
    <mergeCell ref="AC9:AD9"/>
    <mergeCell ref="AA7:AB7"/>
    <mergeCell ref="AC7:AD7"/>
    <mergeCell ref="AH1:AJ5"/>
    <mergeCell ref="B1:AG1"/>
    <mergeCell ref="AC72:AD72"/>
    <mergeCell ref="AI72:AJ72"/>
    <mergeCell ref="AA68:AB68"/>
    <mergeCell ref="AC68:AD68"/>
    <mergeCell ref="AG68:AH68"/>
    <mergeCell ref="AI68:AJ68"/>
    <mergeCell ref="AC66:AD66"/>
    <mergeCell ref="AI66:AJ66"/>
    <mergeCell ref="AA62:AB62"/>
    <mergeCell ref="AC62:AD62"/>
    <mergeCell ref="AG62:AH62"/>
    <mergeCell ref="AI62:AJ62"/>
    <mergeCell ref="AA56:AB56"/>
    <mergeCell ref="AC56:AD56"/>
    <mergeCell ref="AA54:AB54"/>
    <mergeCell ref="AC54:AD54"/>
    <mergeCell ref="AA48:AB48"/>
    <mergeCell ref="AC48:AD48"/>
    <mergeCell ref="AA40:AB40"/>
    <mergeCell ref="AC40:AD40"/>
    <mergeCell ref="AA37:AB37"/>
    <mergeCell ref="AC37:AD37"/>
    <mergeCell ref="E72:F72"/>
    <mergeCell ref="K72:L72"/>
    <mergeCell ref="Q72:R72"/>
    <mergeCell ref="W72:X72"/>
    <mergeCell ref="B73:R73"/>
    <mergeCell ref="E70:F70"/>
    <mergeCell ref="K70:L70"/>
    <mergeCell ref="Q70:R70"/>
    <mergeCell ref="W70:X70"/>
    <mergeCell ref="E71:F71"/>
    <mergeCell ref="K71:L71"/>
    <mergeCell ref="Q71:R71"/>
    <mergeCell ref="W71:X71"/>
    <mergeCell ref="G68:G72"/>
    <mergeCell ref="I68:J68"/>
    <mergeCell ref="K68:L68"/>
    <mergeCell ref="O68:P68"/>
    <mergeCell ref="Q68:R68"/>
    <mergeCell ref="U68:V68"/>
    <mergeCell ref="W68:X68"/>
    <mergeCell ref="E69:F69"/>
    <mergeCell ref="K69:L69"/>
    <mergeCell ref="Q69:R69"/>
    <mergeCell ref="W69:X69"/>
    <mergeCell ref="B58:X58"/>
    <mergeCell ref="C62:D62"/>
    <mergeCell ref="E62:F62"/>
    <mergeCell ref="G62:G66"/>
    <mergeCell ref="I62:J62"/>
    <mergeCell ref="K62:L62"/>
    <mergeCell ref="O62:P62"/>
    <mergeCell ref="Q62:R62"/>
    <mergeCell ref="W66:X66"/>
    <mergeCell ref="Q65:R65"/>
    <mergeCell ref="W65:X65"/>
    <mergeCell ref="E66:F66"/>
    <mergeCell ref="K66:L66"/>
    <mergeCell ref="Q66:R66"/>
    <mergeCell ref="U62:V62"/>
    <mergeCell ref="W62:X62"/>
    <mergeCell ref="E63:F63"/>
    <mergeCell ref="K63:L63"/>
    <mergeCell ref="Q63:R63"/>
    <mergeCell ref="W63:X63"/>
    <mergeCell ref="U56:V56"/>
    <mergeCell ref="W56:X56"/>
    <mergeCell ref="C57:D57"/>
    <mergeCell ref="E57:F57"/>
    <mergeCell ref="I57:J57"/>
    <mergeCell ref="K57:L57"/>
    <mergeCell ref="O57:P57"/>
    <mergeCell ref="Q57:R57"/>
    <mergeCell ref="U57:V57"/>
    <mergeCell ref="W57:X57"/>
    <mergeCell ref="C56:D56"/>
    <mergeCell ref="E56:F56"/>
    <mergeCell ref="I56:J56"/>
    <mergeCell ref="K56:L56"/>
    <mergeCell ref="O56:P56"/>
    <mergeCell ref="Q56:R56"/>
    <mergeCell ref="U54:V54"/>
    <mergeCell ref="W54:X54"/>
    <mergeCell ref="C55:D55"/>
    <mergeCell ref="E55:F55"/>
    <mergeCell ref="I55:J55"/>
    <mergeCell ref="K55:L55"/>
    <mergeCell ref="O55:P55"/>
    <mergeCell ref="Q55:R55"/>
    <mergeCell ref="U55:V55"/>
    <mergeCell ref="W55:X55"/>
    <mergeCell ref="C54:D54"/>
    <mergeCell ref="E54:F54"/>
    <mergeCell ref="I54:J54"/>
    <mergeCell ref="K54:L54"/>
    <mergeCell ref="O54:P54"/>
    <mergeCell ref="Q54:R54"/>
    <mergeCell ref="B52:X52"/>
    <mergeCell ref="C53:D53"/>
    <mergeCell ref="E53:F53"/>
    <mergeCell ref="I53:J53"/>
    <mergeCell ref="K53:L53"/>
    <mergeCell ref="O53:P53"/>
    <mergeCell ref="Q53:R53"/>
    <mergeCell ref="U53:V53"/>
    <mergeCell ref="W53:X53"/>
    <mergeCell ref="U44:V44"/>
    <mergeCell ref="W44:X44"/>
    <mergeCell ref="C48:D48"/>
    <mergeCell ref="E48:F48"/>
    <mergeCell ref="I48:J48"/>
    <mergeCell ref="K48:L48"/>
    <mergeCell ref="O48:P48"/>
    <mergeCell ref="Q48:R48"/>
    <mergeCell ref="U48:V48"/>
    <mergeCell ref="W48:X48"/>
    <mergeCell ref="C44:D44"/>
    <mergeCell ref="E44:F44"/>
    <mergeCell ref="I44:J44"/>
    <mergeCell ref="K44:L44"/>
    <mergeCell ref="O44:P44"/>
    <mergeCell ref="Q44:R44"/>
    <mergeCell ref="U38:V38"/>
    <mergeCell ref="W38:X38"/>
    <mergeCell ref="C40:D40"/>
    <mergeCell ref="E40:F40"/>
    <mergeCell ref="I40:J40"/>
    <mergeCell ref="K40:L40"/>
    <mergeCell ref="O40:P40"/>
    <mergeCell ref="Q40:R40"/>
    <mergeCell ref="U40:V40"/>
    <mergeCell ref="W40:X40"/>
    <mergeCell ref="C38:D38"/>
    <mergeCell ref="E38:F38"/>
    <mergeCell ref="I38:J38"/>
    <mergeCell ref="K38:L38"/>
    <mergeCell ref="O38:P38"/>
    <mergeCell ref="Q38:R38"/>
    <mergeCell ref="C37:D37"/>
    <mergeCell ref="E37:F37"/>
    <mergeCell ref="I37:J37"/>
    <mergeCell ref="K37:L37"/>
    <mergeCell ref="O37:P37"/>
    <mergeCell ref="Q37:R37"/>
    <mergeCell ref="U37:V37"/>
    <mergeCell ref="W37:X37"/>
    <mergeCell ref="C36:D36"/>
    <mergeCell ref="E36:F36"/>
    <mergeCell ref="I36:J36"/>
    <mergeCell ref="K36:L36"/>
    <mergeCell ref="O36:P36"/>
    <mergeCell ref="Q36:R36"/>
    <mergeCell ref="U36:V36"/>
    <mergeCell ref="W36:X36"/>
    <mergeCell ref="E34:F34"/>
    <mergeCell ref="I34:J34"/>
    <mergeCell ref="K34:L34"/>
    <mergeCell ref="O34:P34"/>
    <mergeCell ref="Q34:R34"/>
    <mergeCell ref="U34:V34"/>
    <mergeCell ref="W34:X34"/>
    <mergeCell ref="U29:V29"/>
    <mergeCell ref="W29:X29"/>
    <mergeCell ref="C30:D30"/>
    <mergeCell ref="E30:F30"/>
    <mergeCell ref="I30:J30"/>
    <mergeCell ref="K30:L30"/>
    <mergeCell ref="O30:P30"/>
    <mergeCell ref="Q30:R30"/>
    <mergeCell ref="U30:V30"/>
    <mergeCell ref="W30:X30"/>
    <mergeCell ref="C29:D29"/>
    <mergeCell ref="E29:F29"/>
    <mergeCell ref="I29:J29"/>
    <mergeCell ref="K29:L29"/>
    <mergeCell ref="O29:P29"/>
    <mergeCell ref="Q29:R29"/>
    <mergeCell ref="U27:V27"/>
    <mergeCell ref="W27:X27"/>
    <mergeCell ref="C28:D28"/>
    <mergeCell ref="E28:F28"/>
    <mergeCell ref="I28:J28"/>
    <mergeCell ref="K28:L28"/>
    <mergeCell ref="O28:P28"/>
    <mergeCell ref="Q28:R28"/>
    <mergeCell ref="U28:V28"/>
    <mergeCell ref="W28:X28"/>
    <mergeCell ref="C27:D27"/>
    <mergeCell ref="E27:F27"/>
    <mergeCell ref="I27:J27"/>
    <mergeCell ref="K27:L27"/>
    <mergeCell ref="O27:P27"/>
    <mergeCell ref="Q27:R27"/>
    <mergeCell ref="C26:D26"/>
    <mergeCell ref="E26:F26"/>
    <mergeCell ref="I26:J26"/>
    <mergeCell ref="K26:L26"/>
    <mergeCell ref="O26:P26"/>
    <mergeCell ref="Q26:R26"/>
    <mergeCell ref="U26:V26"/>
    <mergeCell ref="W26:X26"/>
    <mergeCell ref="U17:V17"/>
    <mergeCell ref="W17:X17"/>
    <mergeCell ref="C21:D21"/>
    <mergeCell ref="E21:F21"/>
    <mergeCell ref="I21:J21"/>
    <mergeCell ref="K21:L21"/>
    <mergeCell ref="O21:P21"/>
    <mergeCell ref="Q21:R21"/>
    <mergeCell ref="U21:V21"/>
    <mergeCell ref="W21:X21"/>
    <mergeCell ref="C17:D17"/>
    <mergeCell ref="E17:F17"/>
    <mergeCell ref="I17:J17"/>
    <mergeCell ref="K17:L17"/>
    <mergeCell ref="O17:P17"/>
    <mergeCell ref="Q17:R17"/>
    <mergeCell ref="U11:V11"/>
    <mergeCell ref="W11:X11"/>
    <mergeCell ref="C13:D13"/>
    <mergeCell ref="E13:F13"/>
    <mergeCell ref="I13:J13"/>
    <mergeCell ref="K13:L13"/>
    <mergeCell ref="O13:P13"/>
    <mergeCell ref="Q13:R13"/>
    <mergeCell ref="U13:V13"/>
    <mergeCell ref="W13:X13"/>
    <mergeCell ref="C11:D11"/>
    <mergeCell ref="E11:F11"/>
    <mergeCell ref="I11:J11"/>
    <mergeCell ref="K11:L11"/>
    <mergeCell ref="O11:P11"/>
    <mergeCell ref="Q11:R11"/>
    <mergeCell ref="U9:V9"/>
    <mergeCell ref="W9:X9"/>
    <mergeCell ref="C10:D10"/>
    <mergeCell ref="E10:F10"/>
    <mergeCell ref="I10:J10"/>
    <mergeCell ref="K10:L10"/>
    <mergeCell ref="O10:P10"/>
    <mergeCell ref="Q10:R10"/>
    <mergeCell ref="U10:V10"/>
    <mergeCell ref="W10:X10"/>
    <mergeCell ref="C9:D9"/>
    <mergeCell ref="E9:F9"/>
    <mergeCell ref="I9:J9"/>
    <mergeCell ref="K9:L9"/>
    <mergeCell ref="O9:P9"/>
    <mergeCell ref="Q9:R9"/>
    <mergeCell ref="U7:V7"/>
    <mergeCell ref="W7:X7"/>
    <mergeCell ref="C8:D8"/>
    <mergeCell ref="E8:F8"/>
    <mergeCell ref="I8:J8"/>
    <mergeCell ref="K8:L8"/>
    <mergeCell ref="O8:P8"/>
    <mergeCell ref="Q8:R8"/>
    <mergeCell ref="U8:V8"/>
    <mergeCell ref="W8:X8"/>
    <mergeCell ref="C7:D7"/>
    <mergeCell ref="E7:F7"/>
    <mergeCell ref="I7:J7"/>
    <mergeCell ref="K7:L7"/>
    <mergeCell ref="O7:P7"/>
    <mergeCell ref="Q7:R7"/>
    <mergeCell ref="B6:I6"/>
    <mergeCell ref="K6:M6"/>
    <mergeCell ref="B3:J3"/>
    <mergeCell ref="F4:H4"/>
    <mergeCell ref="J4:L4"/>
    <mergeCell ref="M4:N4"/>
    <mergeCell ref="F5:H5"/>
    <mergeCell ref="M5:N5"/>
    <mergeCell ref="S5:T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53" orientation="landscape" horizontalDpi="300" verticalDpi="300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Y44"/>
  <sheetViews>
    <sheetView showGridLines="0" zoomScaleNormal="100" workbookViewId="0">
      <selection activeCell="B1" sqref="B1:W1"/>
    </sheetView>
  </sheetViews>
  <sheetFormatPr baseColWidth="10" defaultColWidth="11.5703125" defaultRowHeight="15" x14ac:dyDescent="0.25"/>
  <cols>
    <col min="1" max="1" width="6.85546875" style="1" customWidth="1"/>
    <col min="2" max="2" width="5.85546875" style="1" customWidth="1"/>
    <col min="3" max="4" width="12.85546875" style="1" customWidth="1"/>
    <col min="5" max="5" width="6.85546875" style="1" customWidth="1"/>
    <col min="6" max="6" width="5.85546875" style="1" customWidth="1"/>
    <col min="7" max="8" width="12.85546875" style="1" customWidth="1"/>
    <col min="9" max="9" width="6.85546875" style="1" customWidth="1"/>
    <col min="10" max="10" width="5.85546875" style="1" customWidth="1"/>
    <col min="11" max="12" width="12.85546875" style="1" customWidth="1"/>
    <col min="13" max="14" width="6.85546875" style="1" customWidth="1"/>
    <col min="15" max="15" width="5.85546875" style="1" customWidth="1"/>
    <col min="16" max="17" width="12.85546875" style="1" customWidth="1"/>
    <col min="18" max="18" width="6.85546875" style="1" customWidth="1"/>
    <col min="19" max="19" width="5.85546875" style="1" customWidth="1"/>
    <col min="20" max="21" width="12.85546875" style="1" customWidth="1"/>
    <col min="22" max="22" width="6.85546875" style="1" customWidth="1"/>
    <col min="23" max="23" width="5.85546875" style="1" customWidth="1"/>
    <col min="24" max="25" width="12.85546875" style="1" customWidth="1"/>
    <col min="26" max="16384" width="11.5703125" style="1"/>
  </cols>
  <sheetData>
    <row r="1" spans="1:25" ht="24.95" customHeight="1" x14ac:dyDescent="0.35">
      <c r="A1" s="447"/>
      <c r="B1" s="735" t="s">
        <v>252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820"/>
      <c r="X1" s="1061"/>
      <c r="Y1" s="1062"/>
    </row>
    <row r="2" spans="1:25" ht="24.95" customHeight="1" x14ac:dyDescent="0.25">
      <c r="A2" s="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1"/>
      <c r="X2" s="1063"/>
      <c r="Y2" s="1064"/>
    </row>
    <row r="3" spans="1:25" ht="24.95" customHeight="1" thickBot="1" x14ac:dyDescent="0.3">
      <c r="A3" s="19"/>
      <c r="B3" s="448" t="s">
        <v>51</v>
      </c>
      <c r="C3" s="104"/>
      <c r="D3" s="104"/>
      <c r="E3" s="104" t="s">
        <v>173</v>
      </c>
      <c r="F3" s="104"/>
      <c r="G3" s="104"/>
      <c r="H3" s="104"/>
      <c r="I3" s="104"/>
      <c r="J3" s="104"/>
      <c r="K3" s="104"/>
      <c r="L3" s="218"/>
      <c r="M3" s="2"/>
      <c r="N3" s="2"/>
      <c r="O3" s="2"/>
      <c r="P3" s="2"/>
      <c r="Q3" s="2"/>
      <c r="R3" s="2"/>
      <c r="S3" s="2"/>
      <c r="T3" s="2"/>
      <c r="U3" s="2"/>
      <c r="V3" s="2"/>
      <c r="W3" s="21"/>
      <c r="X3" s="1063"/>
      <c r="Y3" s="1064"/>
    </row>
    <row r="4" spans="1:25" ht="24.95" customHeight="1" thickBot="1" x14ac:dyDescent="0.3">
      <c r="A4" s="19"/>
      <c r="B4" s="104" t="s">
        <v>52</v>
      </c>
      <c r="C4" s="2"/>
      <c r="D4" s="2"/>
      <c r="E4" s="85"/>
      <c r="F4" s="85"/>
      <c r="G4" s="220">
        <v>0.39583333333333331</v>
      </c>
      <c r="H4" s="2"/>
      <c r="I4" s="219"/>
      <c r="J4" s="2"/>
      <c r="K4" s="741" t="s">
        <v>54</v>
      </c>
      <c r="L4" s="741"/>
      <c r="M4" s="1054">
        <f>(3*P6)+(3*P25)</f>
        <v>4.1666666666666664E-2</v>
      </c>
      <c r="N4" s="1054"/>
      <c r="O4" s="1054"/>
      <c r="P4" s="264" t="s">
        <v>33</v>
      </c>
      <c r="Q4" s="2"/>
      <c r="R4" s="2"/>
      <c r="S4" s="2"/>
      <c r="T4" s="2"/>
      <c r="U4" s="2"/>
      <c r="V4" s="2"/>
      <c r="W4" s="21"/>
      <c r="X4" s="1063"/>
      <c r="Y4" s="1064"/>
    </row>
    <row r="5" spans="1:25" ht="24.95" customHeight="1" thickBot="1" x14ac:dyDescent="0.3">
      <c r="A5" s="449"/>
      <c r="B5" s="215" t="s">
        <v>32</v>
      </c>
      <c r="C5" s="215"/>
      <c r="D5" s="47"/>
      <c r="E5" s="47"/>
      <c r="F5" s="47"/>
      <c r="G5" s="413">
        <f>W42-B14+P25</f>
        <v>0.28472222222222138</v>
      </c>
      <c r="H5" s="413"/>
      <c r="I5" s="47"/>
      <c r="J5" s="999" t="s">
        <v>79</v>
      </c>
      <c r="K5" s="999"/>
      <c r="L5" s="999"/>
      <c r="M5" s="687">
        <v>4.1666666666666664E-2</v>
      </c>
      <c r="N5" s="1084"/>
      <c r="O5" s="688"/>
      <c r="P5" s="47"/>
      <c r="Q5" s="999" t="s">
        <v>242</v>
      </c>
      <c r="R5" s="999"/>
      <c r="S5" s="999"/>
      <c r="T5" s="687">
        <v>6.9444444444444441E-3</v>
      </c>
      <c r="U5" s="688"/>
      <c r="V5" s="47"/>
      <c r="W5" s="188"/>
      <c r="X5" s="1063"/>
      <c r="Y5" s="1064"/>
    </row>
    <row r="6" spans="1:25" ht="16.5" thickBot="1" x14ac:dyDescent="0.3">
      <c r="A6" s="780" t="s">
        <v>89</v>
      </c>
      <c r="B6" s="686"/>
      <c r="C6" s="686"/>
      <c r="D6" s="686"/>
      <c r="E6" s="686"/>
      <c r="F6" s="686"/>
      <c r="G6" s="686"/>
      <c r="H6" s="686"/>
      <c r="I6" s="686"/>
      <c r="J6" s="686"/>
      <c r="K6" s="781"/>
      <c r="L6" s="1085" t="s">
        <v>18</v>
      </c>
      <c r="M6" s="1085"/>
      <c r="N6" s="1085"/>
      <c r="O6" s="1085"/>
      <c r="P6" s="450">
        <v>6.9444444444444441E-3</v>
      </c>
      <c r="Q6" s="451" t="s">
        <v>17</v>
      </c>
      <c r="R6" s="452"/>
      <c r="S6" s="451"/>
      <c r="T6" s="47"/>
      <c r="U6" s="47"/>
      <c r="V6" s="47"/>
      <c r="W6" s="47"/>
      <c r="X6" s="20"/>
      <c r="Y6" s="107"/>
    </row>
    <row r="7" spans="1:25" x14ac:dyDescent="0.25">
      <c r="A7" s="19"/>
      <c r="B7" s="125"/>
      <c r="C7" s="912" t="s">
        <v>41</v>
      </c>
      <c r="D7" s="914"/>
      <c r="E7" s="102"/>
      <c r="F7" s="124"/>
      <c r="G7" s="915" t="s">
        <v>42</v>
      </c>
      <c r="H7" s="917"/>
      <c r="I7" s="103"/>
      <c r="J7" s="97"/>
      <c r="K7" s="852" t="s">
        <v>43</v>
      </c>
      <c r="L7" s="853"/>
      <c r="M7" s="168"/>
      <c r="N7" s="76"/>
      <c r="O7" s="125"/>
      <c r="P7" s="912" t="s">
        <v>55</v>
      </c>
      <c r="Q7" s="914"/>
      <c r="R7" s="102"/>
      <c r="S7" s="124"/>
      <c r="T7" s="915" t="s">
        <v>91</v>
      </c>
      <c r="U7" s="917"/>
      <c r="V7" s="103"/>
      <c r="W7" s="97"/>
      <c r="X7" s="852" t="s">
        <v>92</v>
      </c>
      <c r="Y7" s="853"/>
    </row>
    <row r="8" spans="1:25" x14ac:dyDescent="0.25">
      <c r="A8" s="19"/>
      <c r="B8" s="10">
        <v>1</v>
      </c>
      <c r="C8" s="731" t="s">
        <v>22</v>
      </c>
      <c r="D8" s="1010"/>
      <c r="E8" s="103"/>
      <c r="F8" s="11">
        <v>1</v>
      </c>
      <c r="G8" s="727" t="s">
        <v>26</v>
      </c>
      <c r="H8" s="1011"/>
      <c r="I8" s="103"/>
      <c r="J8" s="12">
        <v>1</v>
      </c>
      <c r="K8" s="800" t="s">
        <v>37</v>
      </c>
      <c r="L8" s="1012"/>
      <c r="M8" s="168"/>
      <c r="N8" s="76"/>
      <c r="O8" s="10">
        <v>1</v>
      </c>
      <c r="P8" s="731" t="s">
        <v>56</v>
      </c>
      <c r="Q8" s="1010"/>
      <c r="R8" s="103"/>
      <c r="S8" s="11">
        <v>1</v>
      </c>
      <c r="T8" s="727" t="s">
        <v>93</v>
      </c>
      <c r="U8" s="1011"/>
      <c r="V8" s="103"/>
      <c r="W8" s="12">
        <v>1</v>
      </c>
      <c r="X8" s="800" t="s">
        <v>97</v>
      </c>
      <c r="Y8" s="1012"/>
    </row>
    <row r="9" spans="1:25" x14ac:dyDescent="0.25">
      <c r="A9" s="19"/>
      <c r="B9" s="10">
        <v>2</v>
      </c>
      <c r="C9" s="731" t="s">
        <v>23</v>
      </c>
      <c r="D9" s="1010"/>
      <c r="E9" s="103"/>
      <c r="F9" s="11">
        <v>2</v>
      </c>
      <c r="G9" s="727" t="s">
        <v>27</v>
      </c>
      <c r="H9" s="1011"/>
      <c r="I9" s="103"/>
      <c r="J9" s="12">
        <v>2</v>
      </c>
      <c r="K9" s="800" t="s">
        <v>38</v>
      </c>
      <c r="L9" s="1012"/>
      <c r="M9" s="168"/>
      <c r="N9" s="76"/>
      <c r="O9" s="10">
        <v>2</v>
      </c>
      <c r="P9" s="731" t="s">
        <v>57</v>
      </c>
      <c r="Q9" s="1010"/>
      <c r="R9" s="103"/>
      <c r="S9" s="11">
        <v>2</v>
      </c>
      <c r="T9" s="727" t="s">
        <v>94</v>
      </c>
      <c r="U9" s="1011"/>
      <c r="V9" s="103"/>
      <c r="W9" s="12">
        <v>2</v>
      </c>
      <c r="X9" s="800" t="s">
        <v>98</v>
      </c>
      <c r="Y9" s="1012"/>
    </row>
    <row r="10" spans="1:25" x14ac:dyDescent="0.25">
      <c r="A10" s="19"/>
      <c r="B10" s="10">
        <v>3</v>
      </c>
      <c r="C10" s="731" t="s">
        <v>24</v>
      </c>
      <c r="D10" s="1010"/>
      <c r="E10" s="103"/>
      <c r="F10" s="11">
        <v>3</v>
      </c>
      <c r="G10" s="727" t="s">
        <v>28</v>
      </c>
      <c r="H10" s="1011"/>
      <c r="I10" s="103"/>
      <c r="J10" s="12">
        <v>3</v>
      </c>
      <c r="K10" s="800" t="s">
        <v>39</v>
      </c>
      <c r="L10" s="1012"/>
      <c r="M10" s="168"/>
      <c r="N10" s="76"/>
      <c r="O10" s="10">
        <v>3</v>
      </c>
      <c r="P10" s="731" t="s">
        <v>58</v>
      </c>
      <c r="Q10" s="1010"/>
      <c r="R10" s="103"/>
      <c r="S10" s="11">
        <v>3</v>
      </c>
      <c r="T10" s="727" t="s">
        <v>95</v>
      </c>
      <c r="U10" s="1011"/>
      <c r="V10" s="103"/>
      <c r="W10" s="12">
        <v>3</v>
      </c>
      <c r="X10" s="800" t="s">
        <v>99</v>
      </c>
      <c r="Y10" s="1012"/>
    </row>
    <row r="11" spans="1:25" ht="15.75" thickBot="1" x14ac:dyDescent="0.3">
      <c r="A11" s="19"/>
      <c r="B11" s="15">
        <v>4</v>
      </c>
      <c r="C11" s="717" t="s">
        <v>25</v>
      </c>
      <c r="D11" s="1007"/>
      <c r="E11" s="103"/>
      <c r="F11" s="16">
        <v>4</v>
      </c>
      <c r="G11" s="721" t="s">
        <v>29</v>
      </c>
      <c r="H11" s="1008"/>
      <c r="I11" s="103"/>
      <c r="J11" s="17">
        <v>4</v>
      </c>
      <c r="K11" s="792" t="s">
        <v>40</v>
      </c>
      <c r="L11" s="1009"/>
      <c r="M11" s="168"/>
      <c r="N11" s="76"/>
      <c r="O11" s="15">
        <v>4</v>
      </c>
      <c r="P11" s="717" t="s">
        <v>59</v>
      </c>
      <c r="Q11" s="1007"/>
      <c r="R11" s="103"/>
      <c r="S11" s="16">
        <v>4</v>
      </c>
      <c r="T11" s="721" t="s">
        <v>96</v>
      </c>
      <c r="U11" s="1008"/>
      <c r="V11" s="103"/>
      <c r="W11" s="17">
        <v>4</v>
      </c>
      <c r="X11" s="792" t="s">
        <v>100</v>
      </c>
      <c r="Y11" s="1009"/>
    </row>
    <row r="12" spans="1:25" ht="5.0999999999999996" customHeight="1" thickBot="1" x14ac:dyDescent="0.3">
      <c r="A12" s="19"/>
      <c r="B12" s="19"/>
      <c r="C12" s="2"/>
      <c r="D12" s="2"/>
      <c r="E12" s="2"/>
      <c r="F12" s="2"/>
      <c r="G12" s="2"/>
      <c r="H12" s="22"/>
      <c r="I12" s="85"/>
      <c r="J12" s="2"/>
      <c r="K12" s="2"/>
      <c r="L12" s="21"/>
      <c r="M12" s="168"/>
      <c r="N12" s="78"/>
      <c r="O12" s="19"/>
      <c r="P12" s="2"/>
      <c r="Q12" s="2"/>
      <c r="R12" s="2"/>
      <c r="S12" s="2"/>
      <c r="T12" s="2"/>
      <c r="U12" s="22"/>
      <c r="V12" s="85"/>
      <c r="W12" s="2"/>
      <c r="X12" s="2"/>
      <c r="Y12" s="21"/>
    </row>
    <row r="13" spans="1:25" s="29" customFormat="1" x14ac:dyDescent="0.25">
      <c r="A13" s="24" t="s">
        <v>253</v>
      </c>
      <c r="B13" s="453"/>
      <c r="C13" s="713" t="s">
        <v>5</v>
      </c>
      <c r="D13" s="714"/>
      <c r="E13" s="454" t="s">
        <v>253</v>
      </c>
      <c r="F13" s="455"/>
      <c r="G13" s="715" t="s">
        <v>5</v>
      </c>
      <c r="H13" s="716"/>
      <c r="I13" s="456" t="s">
        <v>253</v>
      </c>
      <c r="J13" s="27"/>
      <c r="K13" s="786" t="s">
        <v>5</v>
      </c>
      <c r="L13" s="787"/>
      <c r="M13" s="167"/>
      <c r="N13" s="24" t="s">
        <v>253</v>
      </c>
      <c r="O13" s="24"/>
      <c r="P13" s="713" t="s">
        <v>5</v>
      </c>
      <c r="Q13" s="714"/>
      <c r="R13" s="454" t="s">
        <v>253</v>
      </c>
      <c r="S13" s="26"/>
      <c r="T13" s="715" t="s">
        <v>5</v>
      </c>
      <c r="U13" s="715"/>
      <c r="V13" s="456" t="s">
        <v>253</v>
      </c>
      <c r="W13" s="27"/>
      <c r="X13" s="786" t="s">
        <v>5</v>
      </c>
      <c r="Y13" s="787"/>
    </row>
    <row r="14" spans="1:25" x14ac:dyDescent="0.25">
      <c r="A14" s="457">
        <v>1</v>
      </c>
      <c r="B14" s="458">
        <f>G4</f>
        <v>0.39583333333333331</v>
      </c>
      <c r="C14" s="31" t="str">
        <f>C8</f>
        <v>Equipe 1</v>
      </c>
      <c r="D14" s="368" t="str">
        <f>C9</f>
        <v>Equipe 2</v>
      </c>
      <c r="E14" s="459">
        <v>3</v>
      </c>
      <c r="F14" s="460">
        <f>B14</f>
        <v>0.39583333333333331</v>
      </c>
      <c r="G14" s="33" t="str">
        <f>G8</f>
        <v>Equipe 5</v>
      </c>
      <c r="H14" s="461" t="str">
        <f>G9</f>
        <v>Equipe 6</v>
      </c>
      <c r="I14" s="462">
        <v>1</v>
      </c>
      <c r="J14" s="34">
        <f>F15+$P$6+T5</f>
        <v>0.40972222222222215</v>
      </c>
      <c r="K14" s="35" t="str">
        <f>K8</f>
        <v>Equipe 9</v>
      </c>
      <c r="L14" s="203" t="str">
        <f>K9</f>
        <v>Equipe 10</v>
      </c>
      <c r="M14" s="168"/>
      <c r="N14" s="457">
        <v>3</v>
      </c>
      <c r="O14" s="30">
        <f>J14</f>
        <v>0.40972222222222215</v>
      </c>
      <c r="P14" s="31" t="str">
        <f>P8</f>
        <v>Equipe 13</v>
      </c>
      <c r="Q14" s="368" t="str">
        <f>P9</f>
        <v>Equipe 14</v>
      </c>
      <c r="R14" s="459">
        <v>1</v>
      </c>
      <c r="S14" s="32">
        <f>O15+$P$6+T5</f>
        <v>0.42361111111111099</v>
      </c>
      <c r="T14" s="33" t="str">
        <f>T8</f>
        <v>Equipe 17</v>
      </c>
      <c r="U14" s="33" t="str">
        <f>T9</f>
        <v>Equipe 18</v>
      </c>
      <c r="V14" s="462">
        <v>3</v>
      </c>
      <c r="W14" s="34">
        <f>S14</f>
        <v>0.42361111111111099</v>
      </c>
      <c r="X14" s="35" t="str">
        <f>X8</f>
        <v>Equipe 21</v>
      </c>
      <c r="Y14" s="203" t="str">
        <f>X9</f>
        <v>Equipe 22</v>
      </c>
    </row>
    <row r="15" spans="1:25" ht="15.75" thickBot="1" x14ac:dyDescent="0.3">
      <c r="A15" s="463">
        <v>2</v>
      </c>
      <c r="B15" s="464">
        <f>B14</f>
        <v>0.39583333333333331</v>
      </c>
      <c r="C15" s="39" t="str">
        <f>C10</f>
        <v>Equipe 3</v>
      </c>
      <c r="D15" s="252" t="str">
        <f>C11</f>
        <v>Equipe 4</v>
      </c>
      <c r="E15" s="465">
        <v>4</v>
      </c>
      <c r="F15" s="466">
        <f>B14</f>
        <v>0.39583333333333331</v>
      </c>
      <c r="G15" s="41" t="str">
        <f>G10</f>
        <v>Equipe 7</v>
      </c>
      <c r="H15" s="253" t="str">
        <f>G11</f>
        <v>Equipe 8</v>
      </c>
      <c r="I15" s="467">
        <v>2</v>
      </c>
      <c r="J15" s="42">
        <f>J14</f>
        <v>0.40972222222222215</v>
      </c>
      <c r="K15" s="43" t="str">
        <f>K10</f>
        <v>Equipe 11</v>
      </c>
      <c r="L15" s="204" t="str">
        <f>K11</f>
        <v>Equipe 12</v>
      </c>
      <c r="M15" s="168"/>
      <c r="N15" s="463">
        <v>4</v>
      </c>
      <c r="O15" s="38">
        <f>J14</f>
        <v>0.40972222222222215</v>
      </c>
      <c r="P15" s="39" t="str">
        <f>P10</f>
        <v>Equipe 15</v>
      </c>
      <c r="Q15" s="252" t="str">
        <f>P11</f>
        <v>Equipe 16</v>
      </c>
      <c r="R15" s="465">
        <v>2</v>
      </c>
      <c r="S15" s="40">
        <f>S14</f>
        <v>0.42361111111111099</v>
      </c>
      <c r="T15" s="41" t="str">
        <f>T10</f>
        <v>Equipe 19</v>
      </c>
      <c r="U15" s="41" t="str">
        <f>T11</f>
        <v>Equipe 20</v>
      </c>
      <c r="V15" s="467">
        <v>4</v>
      </c>
      <c r="W15" s="42">
        <f>S14</f>
        <v>0.42361111111111099</v>
      </c>
      <c r="X15" s="43" t="str">
        <f>X10</f>
        <v>Equipe 23</v>
      </c>
      <c r="Y15" s="204" t="str">
        <f>X11</f>
        <v>Equipe 24</v>
      </c>
    </row>
    <row r="16" spans="1:25" ht="5.0999999999999996" customHeight="1" thickBot="1" x14ac:dyDescent="0.3">
      <c r="A16" s="19"/>
      <c r="B16" s="19"/>
      <c r="C16" s="2"/>
      <c r="D16" s="2"/>
      <c r="E16" s="2"/>
      <c r="F16" s="2"/>
      <c r="G16" s="2"/>
      <c r="H16" s="47"/>
      <c r="I16" s="85"/>
      <c r="J16" s="2"/>
      <c r="K16" s="2"/>
      <c r="L16" s="21"/>
      <c r="M16" s="168"/>
      <c r="N16" s="19"/>
      <c r="O16" s="19"/>
      <c r="P16" s="2"/>
      <c r="Q16" s="2"/>
      <c r="R16" s="2"/>
      <c r="S16" s="2"/>
      <c r="T16" s="2"/>
      <c r="U16" s="47"/>
      <c r="V16" s="85"/>
      <c r="W16" s="2"/>
      <c r="X16" s="2"/>
      <c r="Y16" s="21"/>
    </row>
    <row r="17" spans="1:25" s="29" customFormat="1" x14ac:dyDescent="0.25">
      <c r="A17" s="24" t="s">
        <v>253</v>
      </c>
      <c r="B17" s="24"/>
      <c r="C17" s="713" t="s">
        <v>6</v>
      </c>
      <c r="D17" s="1086"/>
      <c r="E17" s="454" t="s">
        <v>253</v>
      </c>
      <c r="F17" s="455"/>
      <c r="G17" s="715" t="s">
        <v>6</v>
      </c>
      <c r="H17" s="716"/>
      <c r="I17" s="456" t="s">
        <v>253</v>
      </c>
      <c r="J17" s="27"/>
      <c r="K17" s="786" t="s">
        <v>6</v>
      </c>
      <c r="L17" s="787"/>
      <c r="M17" s="167"/>
      <c r="N17" s="24" t="s">
        <v>253</v>
      </c>
      <c r="O17" s="24"/>
      <c r="P17" s="713" t="s">
        <v>6</v>
      </c>
      <c r="Q17" s="714"/>
      <c r="R17" s="454" t="s">
        <v>253</v>
      </c>
      <c r="S17" s="26"/>
      <c r="T17" s="715" t="s">
        <v>6</v>
      </c>
      <c r="U17" s="715"/>
      <c r="V17" s="456" t="s">
        <v>253</v>
      </c>
      <c r="W17" s="27"/>
      <c r="X17" s="786" t="s">
        <v>6</v>
      </c>
      <c r="Y17" s="787"/>
    </row>
    <row r="18" spans="1:25" x14ac:dyDescent="0.25">
      <c r="A18" s="457">
        <v>1</v>
      </c>
      <c r="B18" s="30">
        <f>S14+$P$6+T5</f>
        <v>0.43749999999999983</v>
      </c>
      <c r="C18" s="31" t="str">
        <f>C8</f>
        <v>Equipe 1</v>
      </c>
      <c r="D18" s="468" t="str">
        <f>C10</f>
        <v>Equipe 3</v>
      </c>
      <c r="E18" s="459">
        <v>3</v>
      </c>
      <c r="F18" s="460">
        <f>B18</f>
        <v>0.43749999999999983</v>
      </c>
      <c r="G18" s="33" t="str">
        <f>G8</f>
        <v>Equipe 5</v>
      </c>
      <c r="H18" s="461" t="str">
        <f>G10</f>
        <v>Equipe 7</v>
      </c>
      <c r="I18" s="462">
        <v>1</v>
      </c>
      <c r="J18" s="34">
        <f>F19+$P$6+T5</f>
        <v>0.45138888888888867</v>
      </c>
      <c r="K18" s="35" t="str">
        <f>K8</f>
        <v>Equipe 9</v>
      </c>
      <c r="L18" s="203" t="str">
        <f>K10</f>
        <v>Equipe 11</v>
      </c>
      <c r="M18" s="168"/>
      <c r="N18" s="457">
        <v>3</v>
      </c>
      <c r="O18" s="30">
        <f>J18</f>
        <v>0.45138888888888867</v>
      </c>
      <c r="P18" s="31" t="str">
        <f>P8</f>
        <v>Equipe 13</v>
      </c>
      <c r="Q18" s="368" t="str">
        <f>P10</f>
        <v>Equipe 15</v>
      </c>
      <c r="R18" s="459">
        <v>1</v>
      </c>
      <c r="S18" s="32">
        <f>O19+$P$6+T5</f>
        <v>0.46527777777777751</v>
      </c>
      <c r="T18" s="33" t="str">
        <f>T8</f>
        <v>Equipe 17</v>
      </c>
      <c r="U18" s="33" t="str">
        <f>T10</f>
        <v>Equipe 19</v>
      </c>
      <c r="V18" s="462">
        <v>3</v>
      </c>
      <c r="W18" s="34">
        <f>S18</f>
        <v>0.46527777777777751</v>
      </c>
      <c r="X18" s="35" t="str">
        <f>X8</f>
        <v>Equipe 21</v>
      </c>
      <c r="Y18" s="203" t="str">
        <f>X10</f>
        <v>Equipe 23</v>
      </c>
    </row>
    <row r="19" spans="1:25" ht="15.75" thickBot="1" x14ac:dyDescent="0.3">
      <c r="A19" s="463">
        <v>2</v>
      </c>
      <c r="B19" s="38">
        <f>B18</f>
        <v>0.43749999999999983</v>
      </c>
      <c r="C19" s="39" t="str">
        <f>C9</f>
        <v>Equipe 2</v>
      </c>
      <c r="D19" s="469" t="str">
        <f>C11</f>
        <v>Equipe 4</v>
      </c>
      <c r="E19" s="470">
        <v>4</v>
      </c>
      <c r="F19" s="460">
        <f>F18</f>
        <v>0.43749999999999983</v>
      </c>
      <c r="G19" s="33" t="str">
        <f>G9</f>
        <v>Equipe 6</v>
      </c>
      <c r="H19" s="461" t="str">
        <f>G11</f>
        <v>Equipe 8</v>
      </c>
      <c r="I19" s="467">
        <v>2</v>
      </c>
      <c r="J19" s="42">
        <f>J18</f>
        <v>0.45138888888888867</v>
      </c>
      <c r="K19" s="43" t="str">
        <f>K9</f>
        <v>Equipe 10</v>
      </c>
      <c r="L19" s="204" t="str">
        <f>K11</f>
        <v>Equipe 12</v>
      </c>
      <c r="M19" s="168"/>
      <c r="N19" s="463">
        <v>4</v>
      </c>
      <c r="O19" s="38">
        <f>O18</f>
        <v>0.45138888888888867</v>
      </c>
      <c r="P19" s="39" t="str">
        <f>P9</f>
        <v>Equipe 14</v>
      </c>
      <c r="Q19" s="252" t="str">
        <f>P11</f>
        <v>Equipe 16</v>
      </c>
      <c r="R19" s="470">
        <v>2</v>
      </c>
      <c r="S19" s="40">
        <f>S18</f>
        <v>0.46527777777777751</v>
      </c>
      <c r="T19" s="41" t="str">
        <f>T9</f>
        <v>Equipe 18</v>
      </c>
      <c r="U19" s="41" t="str">
        <f>T11</f>
        <v>Equipe 20</v>
      </c>
      <c r="V19" s="467">
        <v>4</v>
      </c>
      <c r="W19" s="42">
        <f>W18</f>
        <v>0.46527777777777751</v>
      </c>
      <c r="X19" s="43" t="str">
        <f>X9</f>
        <v>Equipe 22</v>
      </c>
      <c r="Y19" s="204" t="str">
        <f>X11</f>
        <v>Equipe 24</v>
      </c>
    </row>
    <row r="20" spans="1:25" ht="5.0999999999999996" customHeight="1" thickBot="1" x14ac:dyDescent="0.3">
      <c r="A20" s="19"/>
      <c r="B20" s="19"/>
      <c r="C20" s="2"/>
      <c r="D20" s="2"/>
      <c r="E20" s="471"/>
      <c r="F20" s="472"/>
      <c r="G20" s="472"/>
      <c r="H20" s="473"/>
      <c r="I20" s="85"/>
      <c r="J20" s="2"/>
      <c r="K20" s="2"/>
      <c r="L20" s="21"/>
      <c r="M20" s="168"/>
      <c r="N20" s="19"/>
      <c r="O20" s="19"/>
      <c r="P20" s="2"/>
      <c r="Q20" s="2"/>
      <c r="R20" s="471"/>
      <c r="S20" s="2"/>
      <c r="T20" s="2"/>
      <c r="U20" s="47"/>
      <c r="V20" s="85"/>
      <c r="W20" s="2"/>
      <c r="X20" s="2"/>
      <c r="Y20" s="21"/>
    </row>
    <row r="21" spans="1:25" s="29" customFormat="1" x14ac:dyDescent="0.25">
      <c r="A21" s="24" t="s">
        <v>253</v>
      </c>
      <c r="B21" s="24"/>
      <c r="C21" s="713" t="s">
        <v>7</v>
      </c>
      <c r="D21" s="1086"/>
      <c r="E21" s="454" t="s">
        <v>253</v>
      </c>
      <c r="F21" s="455"/>
      <c r="G21" s="715" t="s">
        <v>7</v>
      </c>
      <c r="H21" s="716"/>
      <c r="I21" s="456" t="s">
        <v>253</v>
      </c>
      <c r="J21" s="27"/>
      <c r="K21" s="786" t="s">
        <v>7</v>
      </c>
      <c r="L21" s="787"/>
      <c r="M21" s="167"/>
      <c r="N21" s="24" t="s">
        <v>253</v>
      </c>
      <c r="O21" s="24"/>
      <c r="P21" s="713" t="s">
        <v>7</v>
      </c>
      <c r="Q21" s="714"/>
      <c r="R21" s="454" t="s">
        <v>253</v>
      </c>
      <c r="S21" s="26"/>
      <c r="T21" s="715" t="s">
        <v>7</v>
      </c>
      <c r="U21" s="715"/>
      <c r="V21" s="456" t="s">
        <v>253</v>
      </c>
      <c r="W21" s="27"/>
      <c r="X21" s="786" t="s">
        <v>7</v>
      </c>
      <c r="Y21" s="787"/>
    </row>
    <row r="22" spans="1:25" x14ac:dyDescent="0.25">
      <c r="A22" s="457">
        <v>1</v>
      </c>
      <c r="B22" s="30">
        <f>W19+$P$6+T5</f>
        <v>0.47916666666666635</v>
      </c>
      <c r="C22" s="31" t="str">
        <f>C8</f>
        <v>Equipe 1</v>
      </c>
      <c r="D22" s="468" t="str">
        <f>C11</f>
        <v>Equipe 4</v>
      </c>
      <c r="E22" s="459">
        <v>3</v>
      </c>
      <c r="F22" s="460">
        <f>B22</f>
        <v>0.47916666666666635</v>
      </c>
      <c r="G22" s="33" t="str">
        <f>G8</f>
        <v>Equipe 5</v>
      </c>
      <c r="H22" s="461" t="str">
        <f>G11</f>
        <v>Equipe 8</v>
      </c>
      <c r="I22" s="462">
        <v>1</v>
      </c>
      <c r="J22" s="34">
        <f>F23+P6+T5</f>
        <v>0.49305555555555519</v>
      </c>
      <c r="K22" s="35" t="str">
        <f>K8</f>
        <v>Equipe 9</v>
      </c>
      <c r="L22" s="203" t="str">
        <f>K11</f>
        <v>Equipe 12</v>
      </c>
      <c r="M22" s="168"/>
      <c r="N22" s="457">
        <v>3</v>
      </c>
      <c r="O22" s="30">
        <f>J22</f>
        <v>0.49305555555555519</v>
      </c>
      <c r="P22" s="31" t="str">
        <f>P8</f>
        <v>Equipe 13</v>
      </c>
      <c r="Q22" s="368" t="str">
        <f>P11</f>
        <v>Equipe 16</v>
      </c>
      <c r="R22" s="459">
        <v>1</v>
      </c>
      <c r="S22" s="32">
        <f>O23+$P$6+T5</f>
        <v>0.50694444444444409</v>
      </c>
      <c r="T22" s="33" t="str">
        <f>T8</f>
        <v>Equipe 17</v>
      </c>
      <c r="U22" s="33" t="str">
        <f>T11</f>
        <v>Equipe 20</v>
      </c>
      <c r="V22" s="462">
        <v>3</v>
      </c>
      <c r="W22" s="34">
        <f>S22</f>
        <v>0.50694444444444409</v>
      </c>
      <c r="X22" s="35" t="str">
        <f>X8</f>
        <v>Equipe 21</v>
      </c>
      <c r="Y22" s="203" t="str">
        <f>X11</f>
        <v>Equipe 24</v>
      </c>
    </row>
    <row r="23" spans="1:25" ht="15.75" thickBot="1" x14ac:dyDescent="0.3">
      <c r="A23" s="463">
        <v>2</v>
      </c>
      <c r="B23" s="38">
        <f>B22</f>
        <v>0.47916666666666635</v>
      </c>
      <c r="C23" s="39" t="str">
        <f>C9</f>
        <v>Equipe 2</v>
      </c>
      <c r="D23" s="469" t="str">
        <f>C10</f>
        <v>Equipe 3</v>
      </c>
      <c r="E23" s="465">
        <v>4</v>
      </c>
      <c r="F23" s="466">
        <f>F22</f>
        <v>0.47916666666666635</v>
      </c>
      <c r="G23" s="41" t="str">
        <f>G9</f>
        <v>Equipe 6</v>
      </c>
      <c r="H23" s="253" t="str">
        <f>G10</f>
        <v>Equipe 7</v>
      </c>
      <c r="I23" s="467">
        <v>2</v>
      </c>
      <c r="J23" s="42">
        <f>J22</f>
        <v>0.49305555555555519</v>
      </c>
      <c r="K23" s="43" t="str">
        <f>K9</f>
        <v>Equipe 10</v>
      </c>
      <c r="L23" s="204" t="str">
        <f>K10</f>
        <v>Equipe 11</v>
      </c>
      <c r="M23" s="222"/>
      <c r="N23" s="463">
        <v>4</v>
      </c>
      <c r="O23" s="38">
        <f>O22</f>
        <v>0.49305555555555519</v>
      </c>
      <c r="P23" s="39" t="str">
        <f>P9</f>
        <v>Equipe 14</v>
      </c>
      <c r="Q23" s="252" t="str">
        <f>P10</f>
        <v>Equipe 15</v>
      </c>
      <c r="R23" s="465">
        <v>2</v>
      </c>
      <c r="S23" s="40">
        <f>S22</f>
        <v>0.50694444444444409</v>
      </c>
      <c r="T23" s="41" t="str">
        <f>T9</f>
        <v>Equipe 18</v>
      </c>
      <c r="U23" s="41" t="str">
        <f>T10</f>
        <v>Equipe 19</v>
      </c>
      <c r="V23" s="467">
        <v>4</v>
      </c>
      <c r="W23" s="42">
        <f>W22</f>
        <v>0.50694444444444409</v>
      </c>
      <c r="X23" s="43" t="str">
        <f>X9</f>
        <v>Equipe 22</v>
      </c>
      <c r="Y23" s="204" t="str">
        <f>X10</f>
        <v>Equipe 23</v>
      </c>
    </row>
    <row r="24" spans="1:25" ht="25.35" customHeight="1" thickBot="1" x14ac:dyDescent="0.3">
      <c r="A24" s="19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474"/>
    </row>
    <row r="25" spans="1:25" ht="16.5" thickBot="1" x14ac:dyDescent="0.3">
      <c r="A25" s="19"/>
      <c r="B25" s="701" t="s">
        <v>90</v>
      </c>
      <c r="C25" s="685"/>
      <c r="D25" s="685"/>
      <c r="E25" s="685"/>
      <c r="F25" s="685"/>
      <c r="G25" s="685"/>
      <c r="H25" s="685"/>
      <c r="I25" s="685"/>
      <c r="J25" s="685"/>
      <c r="K25" s="685"/>
      <c r="L25" s="685" t="s">
        <v>18</v>
      </c>
      <c r="M25" s="685"/>
      <c r="N25" s="685"/>
      <c r="O25" s="685"/>
      <c r="P25" s="414">
        <v>6.9444444444444441E-3</v>
      </c>
      <c r="Q25" s="425" t="s">
        <v>17</v>
      </c>
      <c r="R25" s="189"/>
      <c r="S25" s="425"/>
      <c r="T25" s="20"/>
      <c r="U25" s="20"/>
      <c r="V25" s="20"/>
      <c r="W25" s="20"/>
      <c r="X25" s="20"/>
      <c r="Y25" s="107"/>
    </row>
    <row r="26" spans="1:25" x14ac:dyDescent="0.25">
      <c r="A26" s="19"/>
      <c r="B26" s="125"/>
      <c r="C26" s="912" t="s">
        <v>41</v>
      </c>
      <c r="D26" s="914"/>
      <c r="E26" s="102"/>
      <c r="F26" s="124"/>
      <c r="G26" s="915" t="s">
        <v>42</v>
      </c>
      <c r="H26" s="917"/>
      <c r="I26" s="103"/>
      <c r="J26" s="97"/>
      <c r="K26" s="852" t="s">
        <v>43</v>
      </c>
      <c r="L26" s="853"/>
      <c r="M26" s="168"/>
      <c r="N26" s="85"/>
      <c r="O26" s="125"/>
      <c r="P26" s="912" t="s">
        <v>55</v>
      </c>
      <c r="Q26" s="914"/>
      <c r="R26" s="102"/>
      <c r="S26" s="124"/>
      <c r="T26" s="915" t="s">
        <v>91</v>
      </c>
      <c r="U26" s="917"/>
      <c r="V26" s="103"/>
      <c r="W26" s="97"/>
      <c r="X26" s="852" t="s">
        <v>92</v>
      </c>
      <c r="Y26" s="853"/>
    </row>
    <row r="27" spans="1:25" x14ac:dyDescent="0.25">
      <c r="A27" s="19"/>
      <c r="B27" s="10">
        <v>1</v>
      </c>
      <c r="C27" s="905" t="str">
        <f>C8</f>
        <v>Equipe 1</v>
      </c>
      <c r="D27" s="1005"/>
      <c r="E27" s="103"/>
      <c r="F27" s="11">
        <v>1</v>
      </c>
      <c r="G27" s="907" t="s">
        <v>26</v>
      </c>
      <c r="H27" s="1001"/>
      <c r="I27" s="103"/>
      <c r="J27" s="12">
        <v>1</v>
      </c>
      <c r="K27" s="844" t="s">
        <v>37</v>
      </c>
      <c r="L27" s="1006"/>
      <c r="M27" s="168"/>
      <c r="N27" s="85"/>
      <c r="O27" s="10">
        <v>1</v>
      </c>
      <c r="P27" s="905" t="str">
        <f>P8</f>
        <v>Equipe 13</v>
      </c>
      <c r="Q27" s="1005"/>
      <c r="R27" s="103"/>
      <c r="S27" s="11">
        <v>1</v>
      </c>
      <c r="T27" s="907" t="str">
        <f>T8</f>
        <v>Equipe 17</v>
      </c>
      <c r="U27" s="1001"/>
      <c r="V27" s="103"/>
      <c r="W27" s="12">
        <v>1</v>
      </c>
      <c r="X27" s="844" t="str">
        <f>X8</f>
        <v>Equipe 21</v>
      </c>
      <c r="Y27" s="1006"/>
    </row>
    <row r="28" spans="1:25" x14ac:dyDescent="0.25">
      <c r="A28" s="19"/>
      <c r="B28" s="10">
        <v>2</v>
      </c>
      <c r="C28" s="905" t="str">
        <f>G9</f>
        <v>Equipe 6</v>
      </c>
      <c r="D28" s="1005"/>
      <c r="E28" s="103"/>
      <c r="F28" s="11">
        <v>2</v>
      </c>
      <c r="G28" s="907" t="str">
        <f>K9</f>
        <v>Equipe 10</v>
      </c>
      <c r="H28" s="1001"/>
      <c r="I28" s="103"/>
      <c r="J28" s="12">
        <v>2</v>
      </c>
      <c r="K28" s="844" t="str">
        <f>P9</f>
        <v>Equipe 14</v>
      </c>
      <c r="L28" s="1006"/>
      <c r="M28" s="168"/>
      <c r="N28" s="85"/>
      <c r="O28" s="10">
        <v>2</v>
      </c>
      <c r="P28" s="905" t="str">
        <f>T9</f>
        <v>Equipe 18</v>
      </c>
      <c r="Q28" s="1005"/>
      <c r="R28" s="103"/>
      <c r="S28" s="11">
        <v>2</v>
      </c>
      <c r="T28" s="907" t="str">
        <f>X9</f>
        <v>Equipe 22</v>
      </c>
      <c r="U28" s="1001"/>
      <c r="V28" s="103"/>
      <c r="W28" s="12">
        <v>2</v>
      </c>
      <c r="X28" s="844" t="str">
        <f>C9</f>
        <v>Equipe 2</v>
      </c>
      <c r="Y28" s="1006"/>
    </row>
    <row r="29" spans="1:25" x14ac:dyDescent="0.25">
      <c r="A29" s="19"/>
      <c r="B29" s="10">
        <v>3</v>
      </c>
      <c r="C29" s="905" t="str">
        <f>K10</f>
        <v>Equipe 11</v>
      </c>
      <c r="D29" s="1005"/>
      <c r="E29" s="103"/>
      <c r="F29" s="11">
        <v>3</v>
      </c>
      <c r="G29" s="907" t="str">
        <f>P10</f>
        <v>Equipe 15</v>
      </c>
      <c r="H29" s="1001"/>
      <c r="I29" s="103"/>
      <c r="J29" s="12">
        <v>3</v>
      </c>
      <c r="K29" s="844" t="str">
        <f>T10</f>
        <v>Equipe 19</v>
      </c>
      <c r="L29" s="1006"/>
      <c r="M29" s="168"/>
      <c r="N29" s="85"/>
      <c r="O29" s="10">
        <v>3</v>
      </c>
      <c r="P29" s="905" t="str">
        <f>X10</f>
        <v>Equipe 23</v>
      </c>
      <c r="Q29" s="1005"/>
      <c r="R29" s="103"/>
      <c r="S29" s="11">
        <v>3</v>
      </c>
      <c r="T29" s="907" t="str">
        <f>C10</f>
        <v>Equipe 3</v>
      </c>
      <c r="U29" s="1001"/>
      <c r="V29" s="103"/>
      <c r="W29" s="12">
        <v>3</v>
      </c>
      <c r="X29" s="844" t="str">
        <f>G10</f>
        <v>Equipe 7</v>
      </c>
      <c r="Y29" s="1006"/>
    </row>
    <row r="30" spans="1:25" ht="15.75" thickBot="1" x14ac:dyDescent="0.3">
      <c r="A30" s="19"/>
      <c r="B30" s="15">
        <v>4</v>
      </c>
      <c r="C30" s="901" t="str">
        <f>P11</f>
        <v>Equipe 16</v>
      </c>
      <c r="D30" s="1002"/>
      <c r="E30" s="103"/>
      <c r="F30" s="16">
        <v>4</v>
      </c>
      <c r="G30" s="903" t="str">
        <f>T11</f>
        <v>Equipe 20</v>
      </c>
      <c r="H30" s="1003"/>
      <c r="I30" s="103"/>
      <c r="J30" s="17">
        <v>4</v>
      </c>
      <c r="K30" s="846" t="str">
        <f>X11</f>
        <v>Equipe 24</v>
      </c>
      <c r="L30" s="1004"/>
      <c r="M30" s="168"/>
      <c r="N30" s="85"/>
      <c r="O30" s="15">
        <v>4</v>
      </c>
      <c r="P30" s="901" t="str">
        <f>C11</f>
        <v>Equipe 4</v>
      </c>
      <c r="Q30" s="1002"/>
      <c r="R30" s="103"/>
      <c r="S30" s="16">
        <v>4</v>
      </c>
      <c r="T30" s="903" t="s">
        <v>29</v>
      </c>
      <c r="U30" s="1003"/>
      <c r="V30" s="103"/>
      <c r="W30" s="17">
        <v>4</v>
      </c>
      <c r="X30" s="846" t="str">
        <f>K11</f>
        <v>Equipe 12</v>
      </c>
      <c r="Y30" s="1004"/>
    </row>
    <row r="31" spans="1:25" ht="5.0999999999999996" customHeight="1" thickBot="1" x14ac:dyDescent="0.3">
      <c r="A31" s="19"/>
      <c r="B31" s="19"/>
      <c r="C31" s="2"/>
      <c r="D31" s="2"/>
      <c r="E31" s="2"/>
      <c r="F31" s="2"/>
      <c r="G31" s="2"/>
      <c r="H31" s="22"/>
      <c r="I31" s="85"/>
      <c r="J31" s="2"/>
      <c r="K31" s="2"/>
      <c r="L31" s="21"/>
      <c r="M31" s="168"/>
      <c r="N31" s="85"/>
      <c r="O31" s="19"/>
      <c r="P31" s="2"/>
      <c r="Q31" s="2"/>
      <c r="R31" s="2"/>
      <c r="S31" s="2"/>
      <c r="T31" s="2"/>
      <c r="U31" s="22"/>
      <c r="V31" s="85"/>
      <c r="W31" s="2"/>
      <c r="X31" s="2"/>
      <c r="Y31" s="21"/>
    </row>
    <row r="32" spans="1:25" x14ac:dyDescent="0.25">
      <c r="A32" s="24" t="s">
        <v>253</v>
      </c>
      <c r="B32" s="24"/>
      <c r="C32" s="713" t="s">
        <v>10</v>
      </c>
      <c r="D32" s="714"/>
      <c r="E32" s="454" t="s">
        <v>253</v>
      </c>
      <c r="F32" s="26"/>
      <c r="G32" s="715" t="s">
        <v>10</v>
      </c>
      <c r="H32" s="715"/>
      <c r="I32" s="456" t="s">
        <v>253</v>
      </c>
      <c r="J32" s="27"/>
      <c r="K32" s="786" t="s">
        <v>10</v>
      </c>
      <c r="L32" s="787"/>
      <c r="M32" s="168"/>
      <c r="N32" s="24" t="s">
        <v>253</v>
      </c>
      <c r="O32" s="24"/>
      <c r="P32" s="713" t="s">
        <v>10</v>
      </c>
      <c r="Q32" s="714"/>
      <c r="R32" s="454" t="s">
        <v>253</v>
      </c>
      <c r="S32" s="26"/>
      <c r="T32" s="715" t="s">
        <v>10</v>
      </c>
      <c r="U32" s="715"/>
      <c r="V32" s="456" t="s">
        <v>253</v>
      </c>
      <c r="W32" s="27"/>
      <c r="X32" s="786" t="s">
        <v>10</v>
      </c>
      <c r="Y32" s="787"/>
    </row>
    <row r="33" spans="1:25" x14ac:dyDescent="0.25">
      <c r="A33" s="457">
        <v>1</v>
      </c>
      <c r="B33" s="30">
        <f>W23+P6+T5+M5</f>
        <v>0.56249999999999956</v>
      </c>
      <c r="C33" s="31" t="str">
        <f>C27</f>
        <v>Equipe 1</v>
      </c>
      <c r="D33" s="368" t="str">
        <f>C28</f>
        <v>Equipe 6</v>
      </c>
      <c r="E33" s="459">
        <v>3</v>
      </c>
      <c r="F33" s="32">
        <f>B33</f>
        <v>0.56249999999999956</v>
      </c>
      <c r="G33" s="33" t="str">
        <f>G27</f>
        <v>Equipe 5</v>
      </c>
      <c r="H33" s="33" t="str">
        <f>G28</f>
        <v>Equipe 10</v>
      </c>
      <c r="I33" s="462">
        <v>1</v>
      </c>
      <c r="J33" s="34">
        <f>F34+$P$6+T5</f>
        <v>0.5763888888888884</v>
      </c>
      <c r="K33" s="35" t="str">
        <f>K27</f>
        <v>Equipe 9</v>
      </c>
      <c r="L33" s="203" t="str">
        <f>K28</f>
        <v>Equipe 14</v>
      </c>
      <c r="M33" s="168"/>
      <c r="N33" s="457">
        <v>3</v>
      </c>
      <c r="O33" s="30">
        <f>J33</f>
        <v>0.5763888888888884</v>
      </c>
      <c r="P33" s="31" t="str">
        <f>P27</f>
        <v>Equipe 13</v>
      </c>
      <c r="Q33" s="368" t="str">
        <f>P28</f>
        <v>Equipe 18</v>
      </c>
      <c r="R33" s="459">
        <v>1</v>
      </c>
      <c r="S33" s="32">
        <f>O34+$P$6+T5</f>
        <v>0.59027777777777724</v>
      </c>
      <c r="T33" s="33" t="str">
        <f>T27</f>
        <v>Equipe 17</v>
      </c>
      <c r="U33" s="33" t="str">
        <f>T28</f>
        <v>Equipe 22</v>
      </c>
      <c r="V33" s="462">
        <v>3</v>
      </c>
      <c r="W33" s="34">
        <f>S33</f>
        <v>0.59027777777777724</v>
      </c>
      <c r="X33" s="35" t="str">
        <f>X27</f>
        <v>Equipe 21</v>
      </c>
      <c r="Y33" s="203" t="str">
        <f>X28</f>
        <v>Equipe 2</v>
      </c>
    </row>
    <row r="34" spans="1:25" ht="15.75" thickBot="1" x14ac:dyDescent="0.3">
      <c r="A34" s="463">
        <v>2</v>
      </c>
      <c r="B34" s="38">
        <f>B33</f>
        <v>0.56249999999999956</v>
      </c>
      <c r="C34" s="39" t="str">
        <f>C29</f>
        <v>Equipe 11</v>
      </c>
      <c r="D34" s="252" t="str">
        <f>C30</f>
        <v>Equipe 16</v>
      </c>
      <c r="E34" s="465">
        <v>4</v>
      </c>
      <c r="F34" s="40">
        <f>F33</f>
        <v>0.56249999999999956</v>
      </c>
      <c r="G34" s="41" t="str">
        <f>G29</f>
        <v>Equipe 15</v>
      </c>
      <c r="H34" s="41" t="str">
        <f>G30</f>
        <v>Equipe 20</v>
      </c>
      <c r="I34" s="467">
        <v>2</v>
      </c>
      <c r="J34" s="42">
        <f>J33</f>
        <v>0.5763888888888884</v>
      </c>
      <c r="K34" s="43" t="str">
        <f>K29</f>
        <v>Equipe 19</v>
      </c>
      <c r="L34" s="204" t="str">
        <f>K30</f>
        <v>Equipe 24</v>
      </c>
      <c r="M34" s="168"/>
      <c r="N34" s="463">
        <v>4</v>
      </c>
      <c r="O34" s="38">
        <f>J33</f>
        <v>0.5763888888888884</v>
      </c>
      <c r="P34" s="39" t="str">
        <f>P29</f>
        <v>Equipe 23</v>
      </c>
      <c r="Q34" s="252" t="str">
        <f>P30</f>
        <v>Equipe 4</v>
      </c>
      <c r="R34" s="465">
        <v>2</v>
      </c>
      <c r="S34" s="40">
        <f>S33</f>
        <v>0.59027777777777724</v>
      </c>
      <c r="T34" s="41" t="str">
        <f>T29</f>
        <v>Equipe 3</v>
      </c>
      <c r="U34" s="41" t="str">
        <f>T30</f>
        <v>Equipe 8</v>
      </c>
      <c r="V34" s="467">
        <v>4</v>
      </c>
      <c r="W34" s="42">
        <f>W33</f>
        <v>0.59027777777777724</v>
      </c>
      <c r="X34" s="43" t="str">
        <f>X29</f>
        <v>Equipe 7</v>
      </c>
      <c r="Y34" s="204" t="str">
        <f>X30</f>
        <v>Equipe 12</v>
      </c>
    </row>
    <row r="35" spans="1:25" ht="5.0999999999999996" customHeight="1" thickBot="1" x14ac:dyDescent="0.3">
      <c r="A35" s="19"/>
      <c r="B35" s="19"/>
      <c r="C35" s="2"/>
      <c r="D35" s="2"/>
      <c r="E35" s="2"/>
      <c r="F35" s="2"/>
      <c r="G35" s="2"/>
      <c r="H35" s="47"/>
      <c r="I35" s="85"/>
      <c r="J35" s="2"/>
      <c r="K35" s="2"/>
      <c r="L35" s="21"/>
      <c r="M35" s="168"/>
      <c r="N35" s="19"/>
      <c r="O35" s="19"/>
      <c r="P35" s="2"/>
      <c r="Q35" s="2"/>
      <c r="R35" s="2"/>
      <c r="S35" s="2"/>
      <c r="T35" s="2"/>
      <c r="U35" s="47"/>
      <c r="V35" s="85"/>
      <c r="W35" s="2"/>
      <c r="X35" s="2"/>
      <c r="Y35" s="21"/>
    </row>
    <row r="36" spans="1:25" x14ac:dyDescent="0.25">
      <c r="A36" s="24" t="s">
        <v>253</v>
      </c>
      <c r="B36" s="24"/>
      <c r="C36" s="713" t="s">
        <v>11</v>
      </c>
      <c r="D36" s="714"/>
      <c r="E36" s="454" t="s">
        <v>253</v>
      </c>
      <c r="F36" s="26"/>
      <c r="G36" s="715" t="s">
        <v>11</v>
      </c>
      <c r="H36" s="715"/>
      <c r="I36" s="456" t="s">
        <v>253</v>
      </c>
      <c r="J36" s="27"/>
      <c r="K36" s="786" t="s">
        <v>11</v>
      </c>
      <c r="L36" s="787"/>
      <c r="M36" s="168"/>
      <c r="N36" s="24" t="s">
        <v>253</v>
      </c>
      <c r="O36" s="24"/>
      <c r="P36" s="713" t="s">
        <v>11</v>
      </c>
      <c r="Q36" s="714"/>
      <c r="R36" s="454" t="s">
        <v>253</v>
      </c>
      <c r="S36" s="26"/>
      <c r="T36" s="715" t="s">
        <v>11</v>
      </c>
      <c r="U36" s="715"/>
      <c r="V36" s="456" t="s">
        <v>253</v>
      </c>
      <c r="W36" s="27"/>
      <c r="X36" s="786" t="s">
        <v>11</v>
      </c>
      <c r="Y36" s="787"/>
    </row>
    <row r="37" spans="1:25" x14ac:dyDescent="0.25">
      <c r="A37" s="457">
        <v>1</v>
      </c>
      <c r="B37" s="30">
        <f>W34+$P$6+T5</f>
        <v>0.60416666666666607</v>
      </c>
      <c r="C37" s="31" t="str">
        <f>C27</f>
        <v>Equipe 1</v>
      </c>
      <c r="D37" s="368" t="str">
        <f>C29</f>
        <v>Equipe 11</v>
      </c>
      <c r="E37" s="459">
        <v>3</v>
      </c>
      <c r="F37" s="32">
        <f>B37</f>
        <v>0.60416666666666607</v>
      </c>
      <c r="G37" s="33" t="str">
        <f>G27</f>
        <v>Equipe 5</v>
      </c>
      <c r="H37" s="33" t="str">
        <f>G29</f>
        <v>Equipe 15</v>
      </c>
      <c r="I37" s="462">
        <v>1</v>
      </c>
      <c r="J37" s="34">
        <f>F38+$P$6+T5</f>
        <v>0.61805555555555491</v>
      </c>
      <c r="K37" s="35" t="str">
        <f>K27</f>
        <v>Equipe 9</v>
      </c>
      <c r="L37" s="203" t="str">
        <f>K29</f>
        <v>Equipe 19</v>
      </c>
      <c r="M37" s="168"/>
      <c r="N37" s="457">
        <v>3</v>
      </c>
      <c r="O37" s="30">
        <f>J37</f>
        <v>0.61805555555555491</v>
      </c>
      <c r="P37" s="31" t="str">
        <f>P27</f>
        <v>Equipe 13</v>
      </c>
      <c r="Q37" s="368" t="str">
        <f>P29</f>
        <v>Equipe 23</v>
      </c>
      <c r="R37" s="459">
        <v>1</v>
      </c>
      <c r="S37" s="32">
        <f>O38+$P$6+T5</f>
        <v>0.63194444444444375</v>
      </c>
      <c r="T37" s="33" t="str">
        <f>T27</f>
        <v>Equipe 17</v>
      </c>
      <c r="U37" s="33" t="str">
        <f>T29</f>
        <v>Equipe 3</v>
      </c>
      <c r="V37" s="462">
        <v>3</v>
      </c>
      <c r="W37" s="34">
        <f>S37</f>
        <v>0.63194444444444375</v>
      </c>
      <c r="X37" s="35" t="str">
        <f>X27</f>
        <v>Equipe 21</v>
      </c>
      <c r="Y37" s="203" t="str">
        <f>X29</f>
        <v>Equipe 7</v>
      </c>
    </row>
    <row r="38" spans="1:25" ht="15.75" thickBot="1" x14ac:dyDescent="0.3">
      <c r="A38" s="463">
        <v>2</v>
      </c>
      <c r="B38" s="38">
        <f>B37</f>
        <v>0.60416666666666607</v>
      </c>
      <c r="C38" s="39" t="str">
        <f>C28</f>
        <v>Equipe 6</v>
      </c>
      <c r="D38" s="252" t="str">
        <f>C30</f>
        <v>Equipe 16</v>
      </c>
      <c r="E38" s="470">
        <v>4</v>
      </c>
      <c r="F38" s="40">
        <f>F37</f>
        <v>0.60416666666666607</v>
      </c>
      <c r="G38" s="41" t="str">
        <f>G28</f>
        <v>Equipe 10</v>
      </c>
      <c r="H38" s="41" t="str">
        <f>G30</f>
        <v>Equipe 20</v>
      </c>
      <c r="I38" s="467">
        <v>2</v>
      </c>
      <c r="J38" s="42">
        <f>J37</f>
        <v>0.61805555555555491</v>
      </c>
      <c r="K38" s="43" t="str">
        <f>K28</f>
        <v>Equipe 14</v>
      </c>
      <c r="L38" s="204" t="str">
        <f>K30</f>
        <v>Equipe 24</v>
      </c>
      <c r="M38" s="168"/>
      <c r="N38" s="463">
        <v>4</v>
      </c>
      <c r="O38" s="38">
        <f>O37</f>
        <v>0.61805555555555491</v>
      </c>
      <c r="P38" s="39" t="str">
        <f>P28</f>
        <v>Equipe 18</v>
      </c>
      <c r="Q38" s="252" t="str">
        <f>P30</f>
        <v>Equipe 4</v>
      </c>
      <c r="R38" s="470">
        <v>2</v>
      </c>
      <c r="S38" s="40">
        <f>S37</f>
        <v>0.63194444444444375</v>
      </c>
      <c r="T38" s="41" t="str">
        <f>T28</f>
        <v>Equipe 22</v>
      </c>
      <c r="U38" s="41" t="str">
        <f>T30</f>
        <v>Equipe 8</v>
      </c>
      <c r="V38" s="467">
        <v>4</v>
      </c>
      <c r="W38" s="42">
        <f>W37</f>
        <v>0.63194444444444375</v>
      </c>
      <c r="X38" s="43" t="str">
        <f>X28</f>
        <v>Equipe 2</v>
      </c>
      <c r="Y38" s="204" t="str">
        <f>X30</f>
        <v>Equipe 12</v>
      </c>
    </row>
    <row r="39" spans="1:25" ht="5.0999999999999996" customHeight="1" thickBot="1" x14ac:dyDescent="0.3">
      <c r="A39" s="19"/>
      <c r="B39" s="19"/>
      <c r="C39" s="2"/>
      <c r="D39" s="2"/>
      <c r="E39" s="471"/>
      <c r="F39" s="2"/>
      <c r="G39" s="2"/>
      <c r="H39" s="47"/>
      <c r="I39" s="85"/>
      <c r="J39" s="2"/>
      <c r="K39" s="2"/>
      <c r="L39" s="21"/>
      <c r="M39" s="168"/>
      <c r="N39" s="19"/>
      <c r="O39" s="19"/>
      <c r="P39" s="2"/>
      <c r="Q39" s="2"/>
      <c r="R39" s="471"/>
      <c r="S39" s="2"/>
      <c r="T39" s="2"/>
      <c r="U39" s="47"/>
      <c r="V39" s="85"/>
      <c r="W39" s="2"/>
      <c r="X39" s="2"/>
      <c r="Y39" s="21"/>
    </row>
    <row r="40" spans="1:25" x14ac:dyDescent="0.25">
      <c r="A40" s="24" t="s">
        <v>253</v>
      </c>
      <c r="B40" s="24"/>
      <c r="C40" s="713" t="s">
        <v>12</v>
      </c>
      <c r="D40" s="714"/>
      <c r="E40" s="454" t="s">
        <v>253</v>
      </c>
      <c r="F40" s="26"/>
      <c r="G40" s="715" t="s">
        <v>12</v>
      </c>
      <c r="H40" s="715"/>
      <c r="I40" s="456" t="s">
        <v>253</v>
      </c>
      <c r="J40" s="27"/>
      <c r="K40" s="786" t="s">
        <v>12</v>
      </c>
      <c r="L40" s="787"/>
      <c r="M40" s="168"/>
      <c r="N40" s="24" t="s">
        <v>253</v>
      </c>
      <c r="O40" s="24"/>
      <c r="P40" s="713" t="s">
        <v>12</v>
      </c>
      <c r="Q40" s="714"/>
      <c r="R40" s="454" t="s">
        <v>253</v>
      </c>
      <c r="S40" s="26"/>
      <c r="T40" s="715" t="s">
        <v>12</v>
      </c>
      <c r="U40" s="715"/>
      <c r="V40" s="456" t="s">
        <v>253</v>
      </c>
      <c r="W40" s="27"/>
      <c r="X40" s="786" t="s">
        <v>12</v>
      </c>
      <c r="Y40" s="787"/>
    </row>
    <row r="41" spans="1:25" x14ac:dyDescent="0.25">
      <c r="A41" s="457">
        <v>1</v>
      </c>
      <c r="B41" s="30">
        <f>W38+$P$6+T5</f>
        <v>0.64583333333333259</v>
      </c>
      <c r="C41" s="31" t="str">
        <f>C27</f>
        <v>Equipe 1</v>
      </c>
      <c r="D41" s="368" t="str">
        <f>C30</f>
        <v>Equipe 16</v>
      </c>
      <c r="E41" s="459">
        <v>3</v>
      </c>
      <c r="F41" s="32">
        <f>B41</f>
        <v>0.64583333333333259</v>
      </c>
      <c r="G41" s="33" t="str">
        <f>G27</f>
        <v>Equipe 5</v>
      </c>
      <c r="H41" s="33" t="str">
        <f>G30</f>
        <v>Equipe 20</v>
      </c>
      <c r="I41" s="462">
        <v>1</v>
      </c>
      <c r="J41" s="34">
        <f>F42+$P$6+T5</f>
        <v>0.65972222222222143</v>
      </c>
      <c r="K41" s="35" t="str">
        <f>K27</f>
        <v>Equipe 9</v>
      </c>
      <c r="L41" s="203" t="str">
        <f>K30</f>
        <v>Equipe 24</v>
      </c>
      <c r="M41" s="168"/>
      <c r="N41" s="457">
        <v>3</v>
      </c>
      <c r="O41" s="30">
        <f>J41</f>
        <v>0.65972222222222143</v>
      </c>
      <c r="P41" s="31" t="str">
        <f>P27</f>
        <v>Equipe 13</v>
      </c>
      <c r="Q41" s="368" t="str">
        <f>P30</f>
        <v>Equipe 4</v>
      </c>
      <c r="R41" s="459">
        <v>1</v>
      </c>
      <c r="S41" s="32">
        <f>O42+$P$6+T5</f>
        <v>0.67361111111111027</v>
      </c>
      <c r="T41" s="33" t="str">
        <f>T27</f>
        <v>Equipe 17</v>
      </c>
      <c r="U41" s="33" t="str">
        <f>T30</f>
        <v>Equipe 8</v>
      </c>
      <c r="V41" s="462">
        <v>3</v>
      </c>
      <c r="W41" s="34">
        <f>S41</f>
        <v>0.67361111111111027</v>
      </c>
      <c r="X41" s="35" t="str">
        <f>X27</f>
        <v>Equipe 21</v>
      </c>
      <c r="Y41" s="203" t="str">
        <f>X30</f>
        <v>Equipe 12</v>
      </c>
    </row>
    <row r="42" spans="1:25" ht="15.75" thickBot="1" x14ac:dyDescent="0.3">
      <c r="A42" s="463">
        <v>2</v>
      </c>
      <c r="B42" s="38">
        <f>B41</f>
        <v>0.64583333333333259</v>
      </c>
      <c r="C42" s="39" t="str">
        <f>C28</f>
        <v>Equipe 6</v>
      </c>
      <c r="D42" s="252" t="str">
        <f>C29</f>
        <v>Equipe 11</v>
      </c>
      <c r="E42" s="465">
        <v>4</v>
      </c>
      <c r="F42" s="40">
        <f>F41</f>
        <v>0.64583333333333259</v>
      </c>
      <c r="G42" s="41" t="str">
        <f>G28</f>
        <v>Equipe 10</v>
      </c>
      <c r="H42" s="41" t="str">
        <f>G29</f>
        <v>Equipe 15</v>
      </c>
      <c r="I42" s="467">
        <v>2</v>
      </c>
      <c r="J42" s="42">
        <f>J41</f>
        <v>0.65972222222222143</v>
      </c>
      <c r="K42" s="43" t="str">
        <f>K28</f>
        <v>Equipe 14</v>
      </c>
      <c r="L42" s="204" t="str">
        <f>K29</f>
        <v>Equipe 19</v>
      </c>
      <c r="M42" s="222"/>
      <c r="N42" s="463">
        <v>4</v>
      </c>
      <c r="O42" s="38">
        <f>O41</f>
        <v>0.65972222222222143</v>
      </c>
      <c r="P42" s="39" t="str">
        <f>P28</f>
        <v>Equipe 18</v>
      </c>
      <c r="Q42" s="252" t="str">
        <f>P29</f>
        <v>Equipe 23</v>
      </c>
      <c r="R42" s="465">
        <v>2</v>
      </c>
      <c r="S42" s="40">
        <f>S41</f>
        <v>0.67361111111111027</v>
      </c>
      <c r="T42" s="41" t="str">
        <f>T28</f>
        <v>Equipe 22</v>
      </c>
      <c r="U42" s="41" t="str">
        <f>T29</f>
        <v>Equipe 3</v>
      </c>
      <c r="V42" s="467">
        <v>4</v>
      </c>
      <c r="W42" s="42">
        <f>W41</f>
        <v>0.67361111111111027</v>
      </c>
      <c r="X42" s="43" t="str">
        <f>X28</f>
        <v>Equipe 2</v>
      </c>
      <c r="Y42" s="204" t="str">
        <f>X29</f>
        <v>Equipe 7</v>
      </c>
    </row>
    <row r="43" spans="1:25" x14ac:dyDescent="0.25">
      <c r="B43" s="137"/>
      <c r="C43" s="138"/>
      <c r="D43" s="138"/>
      <c r="E43" s="85"/>
      <c r="F43" s="137"/>
      <c r="G43" s="138"/>
      <c r="H43" s="138"/>
      <c r="I43" s="85"/>
      <c r="J43" s="137"/>
      <c r="K43" s="138"/>
      <c r="L43" s="138"/>
      <c r="M43" s="85"/>
      <c r="N43" s="85"/>
      <c r="O43" s="137"/>
      <c r="P43" s="138"/>
      <c r="Q43" s="138"/>
      <c r="R43" s="85"/>
      <c r="S43" s="137"/>
      <c r="T43" s="138"/>
      <c r="U43" s="138"/>
      <c r="V43" s="85"/>
      <c r="W43" s="137"/>
      <c r="X43" s="138"/>
      <c r="Y43" s="138"/>
    </row>
    <row r="44" spans="1:25" x14ac:dyDescent="0.25">
      <c r="B44" s="694"/>
      <c r="C44" s="694"/>
      <c r="D44" s="694"/>
      <c r="E44" s="694"/>
      <c r="F44" s="694"/>
      <c r="G44" s="694"/>
      <c r="H44" s="694"/>
      <c r="I44" s="694"/>
      <c r="J44" s="694"/>
      <c r="K44" s="694"/>
      <c r="L44" s="694"/>
      <c r="M44" s="223"/>
      <c r="N44" s="223"/>
      <c r="Y44" s="424" t="s">
        <v>298</v>
      </c>
    </row>
  </sheetData>
  <sheetProtection sheet="1" scenarios="1" selectLockedCells="1"/>
  <mergeCells count="109">
    <mergeCell ref="B44:L44"/>
    <mergeCell ref="C40:D40"/>
    <mergeCell ref="G40:H40"/>
    <mergeCell ref="K40:L40"/>
    <mergeCell ref="P40:Q40"/>
    <mergeCell ref="T40:U40"/>
    <mergeCell ref="X40:Y40"/>
    <mergeCell ref="C36:D36"/>
    <mergeCell ref="G36:H36"/>
    <mergeCell ref="K36:L36"/>
    <mergeCell ref="P36:Q36"/>
    <mergeCell ref="T36:U36"/>
    <mergeCell ref="X36:Y36"/>
    <mergeCell ref="C32:D32"/>
    <mergeCell ref="G32:H32"/>
    <mergeCell ref="K32:L32"/>
    <mergeCell ref="P32:Q32"/>
    <mergeCell ref="T32:U32"/>
    <mergeCell ref="X32:Y32"/>
    <mergeCell ref="C30:D30"/>
    <mergeCell ref="G30:H30"/>
    <mergeCell ref="K30:L30"/>
    <mergeCell ref="P30:Q30"/>
    <mergeCell ref="T30:U30"/>
    <mergeCell ref="X30:Y30"/>
    <mergeCell ref="C29:D29"/>
    <mergeCell ref="G29:H29"/>
    <mergeCell ref="K29:L29"/>
    <mergeCell ref="P29:Q29"/>
    <mergeCell ref="T29:U29"/>
    <mergeCell ref="X29:Y29"/>
    <mergeCell ref="C28:D28"/>
    <mergeCell ref="G28:H28"/>
    <mergeCell ref="K28:L28"/>
    <mergeCell ref="P28:Q28"/>
    <mergeCell ref="T28:U28"/>
    <mergeCell ref="X28:Y28"/>
    <mergeCell ref="C27:D27"/>
    <mergeCell ref="G27:H27"/>
    <mergeCell ref="K27:L27"/>
    <mergeCell ref="P27:Q27"/>
    <mergeCell ref="T27:U27"/>
    <mergeCell ref="X27:Y27"/>
    <mergeCell ref="B25:K25"/>
    <mergeCell ref="L25:O25"/>
    <mergeCell ref="C26:D26"/>
    <mergeCell ref="G26:H26"/>
    <mergeCell ref="K26:L26"/>
    <mergeCell ref="P26:Q26"/>
    <mergeCell ref="T26:U26"/>
    <mergeCell ref="X26:Y26"/>
    <mergeCell ref="C21:D21"/>
    <mergeCell ref="G21:H21"/>
    <mergeCell ref="K21:L21"/>
    <mergeCell ref="P21:Q21"/>
    <mergeCell ref="T21:U21"/>
    <mergeCell ref="X21:Y21"/>
    <mergeCell ref="C17:D17"/>
    <mergeCell ref="G17:H17"/>
    <mergeCell ref="K17:L17"/>
    <mergeCell ref="P17:Q17"/>
    <mergeCell ref="T17:U17"/>
    <mergeCell ref="X17:Y17"/>
    <mergeCell ref="C13:D13"/>
    <mergeCell ref="G13:H13"/>
    <mergeCell ref="K13:L13"/>
    <mergeCell ref="P13:Q13"/>
    <mergeCell ref="T13:U13"/>
    <mergeCell ref="X13:Y13"/>
    <mergeCell ref="C11:D11"/>
    <mergeCell ref="G11:H11"/>
    <mergeCell ref="K11:L11"/>
    <mergeCell ref="P11:Q11"/>
    <mergeCell ref="T11:U11"/>
    <mergeCell ref="X11:Y11"/>
    <mergeCell ref="C10:D10"/>
    <mergeCell ref="G10:H10"/>
    <mergeCell ref="K10:L10"/>
    <mergeCell ref="P10:Q10"/>
    <mergeCell ref="T10:U10"/>
    <mergeCell ref="X10:Y10"/>
    <mergeCell ref="C9:D9"/>
    <mergeCell ref="G9:H9"/>
    <mergeCell ref="K9:L9"/>
    <mergeCell ref="P9:Q9"/>
    <mergeCell ref="T9:U9"/>
    <mergeCell ref="X9:Y9"/>
    <mergeCell ref="B1:W1"/>
    <mergeCell ref="X1:Y5"/>
    <mergeCell ref="K4:L4"/>
    <mergeCell ref="M4:O4"/>
    <mergeCell ref="J5:L5"/>
    <mergeCell ref="M5:O5"/>
    <mergeCell ref="Q5:S5"/>
    <mergeCell ref="T5:U5"/>
    <mergeCell ref="C8:D8"/>
    <mergeCell ref="G8:H8"/>
    <mergeCell ref="K8:L8"/>
    <mergeCell ref="P8:Q8"/>
    <mergeCell ref="T8:U8"/>
    <mergeCell ref="X8:Y8"/>
    <mergeCell ref="A6:K6"/>
    <mergeCell ref="L6:O6"/>
    <mergeCell ref="C7:D7"/>
    <mergeCell ref="G7:H7"/>
    <mergeCell ref="K7:L7"/>
    <mergeCell ref="P7:Q7"/>
    <mergeCell ref="T7:U7"/>
    <mergeCell ref="X7:Y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61" orientation="landscape" horizontalDpi="300" verticalDpi="300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Y162"/>
  <sheetViews>
    <sheetView showGridLines="0" zoomScaleNormal="100" workbookViewId="0">
      <selection activeCell="B1" sqref="B1:U1"/>
    </sheetView>
  </sheetViews>
  <sheetFormatPr baseColWidth="10" defaultColWidth="11.5703125" defaultRowHeight="15" x14ac:dyDescent="0.25"/>
  <cols>
    <col min="1" max="1" width="5.5703125" style="1" customWidth="1"/>
    <col min="2" max="2" width="5.85546875" style="1" customWidth="1"/>
    <col min="3" max="4" width="12.85546875" style="1" customWidth="1"/>
    <col min="5" max="6" width="3.42578125" style="1" customWidth="1"/>
    <col min="7" max="7" width="5.5703125" style="1" customWidth="1"/>
    <col min="8" max="8" width="5.85546875" style="1" customWidth="1"/>
    <col min="9" max="10" width="12.85546875" style="1" customWidth="1"/>
    <col min="11" max="12" width="3.42578125" style="1" customWidth="1"/>
    <col min="13" max="13" width="5.5703125" style="1" customWidth="1"/>
    <col min="14" max="14" width="5.85546875" style="1" customWidth="1"/>
    <col min="15" max="16" width="12.85546875" style="1" customWidth="1"/>
    <col min="17" max="18" width="3.42578125" style="1" customWidth="1"/>
    <col min="19" max="19" width="5.5703125" style="1" customWidth="1"/>
    <col min="20" max="20" width="5.85546875" style="1" customWidth="1"/>
    <col min="21" max="22" width="12.85546875" style="1" customWidth="1"/>
    <col min="23" max="24" width="3.42578125" style="1" customWidth="1"/>
    <col min="25" max="39" width="5.85546875" style="1" customWidth="1"/>
    <col min="40" max="16384" width="11.5703125" style="1"/>
  </cols>
  <sheetData>
    <row r="1" spans="2:24" ht="24.95" customHeight="1" x14ac:dyDescent="0.35">
      <c r="B1" s="734" t="s">
        <v>261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820"/>
      <c r="V1" s="811"/>
      <c r="W1" s="812"/>
      <c r="X1" s="813"/>
    </row>
    <row r="2" spans="2:24" ht="24.95" customHeight="1" x14ac:dyDescent="0.25">
      <c r="B2" s="262" t="s">
        <v>51</v>
      </c>
      <c r="C2" s="104"/>
      <c r="D2" s="104"/>
      <c r="E2" s="104"/>
      <c r="F2" s="104"/>
      <c r="G2" s="310"/>
      <c r="H2" s="104"/>
      <c r="I2" s="104"/>
      <c r="J2" s="104"/>
      <c r="K2" s="104"/>
      <c r="L2" s="104"/>
      <c r="M2" s="104"/>
      <c r="N2" s="104"/>
      <c r="O2" s="104"/>
      <c r="P2" s="218"/>
      <c r="Q2" s="2"/>
      <c r="R2" s="2"/>
      <c r="S2" s="2"/>
      <c r="T2" s="2"/>
      <c r="U2" s="21"/>
      <c r="V2" s="814"/>
      <c r="W2" s="815"/>
      <c r="X2" s="816"/>
    </row>
    <row r="3" spans="2:24" ht="24.95" customHeight="1" thickBot="1" x14ac:dyDescent="0.3">
      <c r="B3" s="263" t="s">
        <v>262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2"/>
      <c r="Q3" s="2"/>
      <c r="R3" s="2"/>
      <c r="S3" s="2"/>
      <c r="T3" s="2"/>
      <c r="U3" s="21"/>
      <c r="V3" s="814"/>
      <c r="W3" s="815"/>
      <c r="X3" s="816"/>
    </row>
    <row r="4" spans="2:24" ht="24.95" customHeight="1" thickBot="1" x14ac:dyDescent="0.3">
      <c r="B4" s="263" t="s">
        <v>52</v>
      </c>
      <c r="C4" s="311"/>
      <c r="D4" s="311"/>
      <c r="E4" s="311"/>
      <c r="F4" s="738">
        <v>0.375</v>
      </c>
      <c r="G4" s="739"/>
      <c r="H4" s="740"/>
      <c r="I4" s="487"/>
      <c r="J4" s="741" t="s">
        <v>263</v>
      </c>
      <c r="K4" s="741"/>
      <c r="L4" s="741"/>
      <c r="M4" s="742">
        <f>(3*K6)+(4*K61)</f>
        <v>6.3194444444444442E-2</v>
      </c>
      <c r="N4" s="742"/>
      <c r="O4" s="264" t="s">
        <v>33</v>
      </c>
      <c r="P4" s="319"/>
      <c r="Q4" s="200"/>
      <c r="R4" s="200"/>
      <c r="S4" s="200"/>
      <c r="T4" s="200"/>
      <c r="U4" s="201"/>
      <c r="V4" s="814"/>
      <c r="W4" s="815"/>
      <c r="X4" s="816"/>
    </row>
    <row r="5" spans="2:24" ht="24.95" customHeight="1" thickBot="1" x14ac:dyDescent="0.3">
      <c r="B5" s="317" t="s">
        <v>32</v>
      </c>
      <c r="C5" s="215"/>
      <c r="D5" s="215"/>
      <c r="E5" s="215"/>
      <c r="F5" s="810">
        <f>H100-B15+K61+S5</f>
        <v>0.36666666666666609</v>
      </c>
      <c r="G5" s="810"/>
      <c r="H5" s="810"/>
      <c r="I5" s="215"/>
      <c r="J5" s="216" t="s">
        <v>79</v>
      </c>
      <c r="K5" s="216"/>
      <c r="L5" s="216"/>
      <c r="M5" s="687">
        <v>2.013888888888889E-2</v>
      </c>
      <c r="N5" s="688"/>
      <c r="O5" s="215"/>
      <c r="P5" s="216" t="s">
        <v>242</v>
      </c>
      <c r="Q5" s="216"/>
      <c r="R5" s="216"/>
      <c r="S5" s="687">
        <v>3.472222222222222E-3</v>
      </c>
      <c r="T5" s="688"/>
      <c r="U5" s="320"/>
      <c r="V5" s="817"/>
      <c r="W5" s="818"/>
      <c r="X5" s="819"/>
    </row>
    <row r="6" spans="2:24" ht="16.5" thickBot="1" x14ac:dyDescent="0.3">
      <c r="B6" s="701" t="s">
        <v>35</v>
      </c>
      <c r="C6" s="685"/>
      <c r="D6" s="685"/>
      <c r="E6" s="685"/>
      <c r="F6" s="685"/>
      <c r="G6" s="685"/>
      <c r="H6" s="685"/>
      <c r="I6" s="685"/>
      <c r="J6" s="488" t="s">
        <v>18</v>
      </c>
      <c r="K6" s="782">
        <v>9.0277777777777787E-3</v>
      </c>
      <c r="L6" s="782"/>
      <c r="M6" s="782"/>
      <c r="N6" s="491" t="s">
        <v>17</v>
      </c>
      <c r="O6" s="488"/>
      <c r="P6" s="686"/>
      <c r="Q6" s="686"/>
      <c r="R6" s="686"/>
      <c r="S6" s="686"/>
      <c r="T6" s="686"/>
      <c r="U6" s="686"/>
      <c r="V6" s="686"/>
      <c r="W6" s="686"/>
      <c r="X6" s="781"/>
    </row>
    <row r="7" spans="2:24" ht="16.5" thickBot="1" x14ac:dyDescent="0.3">
      <c r="B7" s="780" t="s">
        <v>87</v>
      </c>
      <c r="C7" s="686"/>
      <c r="D7" s="686"/>
      <c r="E7" s="686"/>
      <c r="F7" s="686"/>
      <c r="G7" s="686"/>
      <c r="H7" s="686"/>
      <c r="I7" s="686"/>
      <c r="J7" s="686"/>
      <c r="K7" s="686"/>
      <c r="L7" s="781"/>
      <c r="M7" s="446"/>
      <c r="N7" s="780" t="s">
        <v>88</v>
      </c>
      <c r="O7" s="686"/>
      <c r="P7" s="686"/>
      <c r="Q7" s="686"/>
      <c r="R7" s="686"/>
      <c r="S7" s="686"/>
      <c r="T7" s="686"/>
      <c r="U7" s="686"/>
      <c r="V7" s="686"/>
      <c r="W7" s="686"/>
      <c r="X7" s="781"/>
    </row>
    <row r="8" spans="2:24" x14ac:dyDescent="0.25">
      <c r="B8" s="6"/>
      <c r="C8" s="744" t="s">
        <v>41</v>
      </c>
      <c r="D8" s="745"/>
      <c r="E8" s="744" t="s">
        <v>15</v>
      </c>
      <c r="F8" s="746"/>
      <c r="G8" s="102"/>
      <c r="H8" s="7"/>
      <c r="I8" s="747" t="s">
        <v>42</v>
      </c>
      <c r="J8" s="748"/>
      <c r="K8" s="747" t="s">
        <v>15</v>
      </c>
      <c r="L8" s="749"/>
      <c r="M8" s="76"/>
      <c r="N8" s="8"/>
      <c r="O8" s="804" t="s">
        <v>43</v>
      </c>
      <c r="P8" s="805"/>
      <c r="Q8" s="804" t="s">
        <v>15</v>
      </c>
      <c r="R8" s="806"/>
      <c r="S8" s="2"/>
      <c r="T8" s="9"/>
      <c r="U8" s="807" t="s">
        <v>55</v>
      </c>
      <c r="V8" s="808"/>
      <c r="W8" s="807" t="s">
        <v>15</v>
      </c>
      <c r="X8" s="809"/>
    </row>
    <row r="9" spans="2:24" x14ac:dyDescent="0.25">
      <c r="B9" s="10">
        <v>1</v>
      </c>
      <c r="C9" s="731" t="s">
        <v>22</v>
      </c>
      <c r="D9" s="732"/>
      <c r="E9" s="725">
        <f>B121+B125+B129+D116/1000000</f>
        <v>0</v>
      </c>
      <c r="F9" s="726"/>
      <c r="G9" s="103"/>
      <c r="H9" s="11">
        <v>1</v>
      </c>
      <c r="I9" s="727" t="s">
        <v>26</v>
      </c>
      <c r="J9" s="728"/>
      <c r="K9" s="729">
        <f>H121+H125+H129+J116/1000000</f>
        <v>0</v>
      </c>
      <c r="L9" s="730"/>
      <c r="M9" s="76"/>
      <c r="N9" s="12">
        <v>1</v>
      </c>
      <c r="O9" s="800" t="s">
        <v>37</v>
      </c>
      <c r="P9" s="801"/>
      <c r="Q9" s="802">
        <f>N121+N125+N129+P116/1000000</f>
        <v>0</v>
      </c>
      <c r="R9" s="803"/>
      <c r="S9" s="2"/>
      <c r="T9" s="13">
        <v>1</v>
      </c>
      <c r="U9" s="796" t="s">
        <v>56</v>
      </c>
      <c r="V9" s="797"/>
      <c r="W9" s="798">
        <f>T121+T125+T129+V116/1000000</f>
        <v>0</v>
      </c>
      <c r="X9" s="799"/>
    </row>
    <row r="10" spans="2:24" x14ac:dyDescent="0.25">
      <c r="B10" s="10">
        <v>2</v>
      </c>
      <c r="C10" s="731" t="s">
        <v>23</v>
      </c>
      <c r="D10" s="732"/>
      <c r="E10" s="725">
        <f>C121+B126+B130+D117/1000000</f>
        <v>0</v>
      </c>
      <c r="F10" s="726"/>
      <c r="G10" s="103"/>
      <c r="H10" s="11">
        <v>2</v>
      </c>
      <c r="I10" s="727" t="s">
        <v>27</v>
      </c>
      <c r="J10" s="728"/>
      <c r="K10" s="729">
        <f>I121+H126+H130+J117/1000000</f>
        <v>0</v>
      </c>
      <c r="L10" s="730"/>
      <c r="M10" s="76"/>
      <c r="N10" s="12">
        <v>2</v>
      </c>
      <c r="O10" s="800" t="s">
        <v>38</v>
      </c>
      <c r="P10" s="801"/>
      <c r="Q10" s="802">
        <f>O121+N126+N130+P117/1000000</f>
        <v>0</v>
      </c>
      <c r="R10" s="803"/>
      <c r="S10" s="2"/>
      <c r="T10" s="13">
        <v>2</v>
      </c>
      <c r="U10" s="796" t="s">
        <v>57</v>
      </c>
      <c r="V10" s="797"/>
      <c r="W10" s="798">
        <f>U121+T126+T130+V117/1000000</f>
        <v>0</v>
      </c>
      <c r="X10" s="799"/>
    </row>
    <row r="11" spans="2:24" x14ac:dyDescent="0.25">
      <c r="B11" s="10">
        <v>3</v>
      </c>
      <c r="C11" s="731" t="s">
        <v>24</v>
      </c>
      <c r="D11" s="732"/>
      <c r="E11" s="725">
        <f>B122+C125+C130+D118/1000000</f>
        <v>0</v>
      </c>
      <c r="F11" s="726"/>
      <c r="G11" s="103"/>
      <c r="H11" s="11">
        <v>3</v>
      </c>
      <c r="I11" s="727" t="s">
        <v>28</v>
      </c>
      <c r="J11" s="728"/>
      <c r="K11" s="729">
        <f>H122+I125+I130+J118/1000000</f>
        <v>0</v>
      </c>
      <c r="L11" s="730"/>
      <c r="M11" s="76"/>
      <c r="N11" s="12">
        <v>3</v>
      </c>
      <c r="O11" s="800" t="s">
        <v>39</v>
      </c>
      <c r="P11" s="801"/>
      <c r="Q11" s="802">
        <f>N122+O125+O130+P118/1000000</f>
        <v>0</v>
      </c>
      <c r="R11" s="803"/>
      <c r="S11" s="2"/>
      <c r="T11" s="13">
        <v>3</v>
      </c>
      <c r="U11" s="796" t="s">
        <v>58</v>
      </c>
      <c r="V11" s="797"/>
      <c r="W11" s="798">
        <f>T122+U125+U130+V118/1000000</f>
        <v>0</v>
      </c>
      <c r="X11" s="799"/>
    </row>
    <row r="12" spans="2:24" ht="15.75" thickBot="1" x14ac:dyDescent="0.3">
      <c r="B12" s="15">
        <v>4</v>
      </c>
      <c r="C12" s="717" t="s">
        <v>25</v>
      </c>
      <c r="D12" s="718"/>
      <c r="E12" s="719">
        <f>C122+C126+C129+D119/1000000</f>
        <v>0</v>
      </c>
      <c r="F12" s="720"/>
      <c r="G12" s="103"/>
      <c r="H12" s="16">
        <v>4</v>
      </c>
      <c r="I12" s="721" t="s">
        <v>29</v>
      </c>
      <c r="J12" s="722"/>
      <c r="K12" s="723">
        <f>I122+I126+I129+J119/1000000</f>
        <v>0</v>
      </c>
      <c r="L12" s="724"/>
      <c r="M12" s="76"/>
      <c r="N12" s="17">
        <v>4</v>
      </c>
      <c r="O12" s="792" t="s">
        <v>40</v>
      </c>
      <c r="P12" s="793"/>
      <c r="Q12" s="794">
        <f>O122+O126+O129+P119/1000000</f>
        <v>0</v>
      </c>
      <c r="R12" s="795"/>
      <c r="S12" s="2"/>
      <c r="T12" s="18">
        <v>4</v>
      </c>
      <c r="U12" s="788" t="s">
        <v>59</v>
      </c>
      <c r="V12" s="789"/>
      <c r="W12" s="790">
        <f>U122+U126+U129+V119/1000000</f>
        <v>0</v>
      </c>
      <c r="X12" s="791"/>
    </row>
    <row r="13" spans="2:24" ht="5.0999999999999996" customHeight="1" thickBot="1" x14ac:dyDescent="0.3">
      <c r="B13" s="19"/>
      <c r="C13" s="2"/>
      <c r="D13" s="2"/>
      <c r="E13" s="2"/>
      <c r="F13" s="2"/>
      <c r="G13" s="2"/>
      <c r="H13" s="2"/>
      <c r="I13" s="2"/>
      <c r="J13" s="22"/>
      <c r="K13" s="2"/>
      <c r="L13" s="2"/>
      <c r="M13" s="85"/>
      <c r="N13" s="2"/>
      <c r="O13" s="2"/>
      <c r="P13" s="2"/>
      <c r="Q13" s="2"/>
      <c r="R13" s="2"/>
      <c r="S13" s="2"/>
      <c r="T13" s="2"/>
      <c r="U13" s="2"/>
      <c r="V13" s="2"/>
      <c r="W13" s="2"/>
      <c r="X13" s="21"/>
    </row>
    <row r="14" spans="2:24" s="29" customFormat="1" x14ac:dyDescent="0.25">
      <c r="B14" s="24"/>
      <c r="C14" s="713" t="s">
        <v>5</v>
      </c>
      <c r="D14" s="713"/>
      <c r="E14" s="713" t="s">
        <v>16</v>
      </c>
      <c r="F14" s="714"/>
      <c r="G14" s="25"/>
      <c r="H14" s="26"/>
      <c r="I14" s="715" t="s">
        <v>5</v>
      </c>
      <c r="J14" s="715"/>
      <c r="K14" s="715" t="s">
        <v>16</v>
      </c>
      <c r="L14" s="716"/>
      <c r="M14" s="77"/>
      <c r="N14" s="27"/>
      <c r="O14" s="786" t="s">
        <v>5</v>
      </c>
      <c r="P14" s="786"/>
      <c r="Q14" s="786" t="s">
        <v>16</v>
      </c>
      <c r="R14" s="787"/>
      <c r="S14" s="25"/>
      <c r="T14" s="28"/>
      <c r="U14" s="784" t="s">
        <v>5</v>
      </c>
      <c r="V14" s="784"/>
      <c r="W14" s="784" t="s">
        <v>16</v>
      </c>
      <c r="X14" s="785"/>
    </row>
    <row r="15" spans="2:24" x14ac:dyDescent="0.25">
      <c r="B15" s="30">
        <f>F4</f>
        <v>0.375</v>
      </c>
      <c r="C15" s="31" t="str">
        <f>C9</f>
        <v>Equipe 1</v>
      </c>
      <c r="D15" s="31" t="str">
        <f>C10</f>
        <v>Equipe 2</v>
      </c>
      <c r="E15" s="53"/>
      <c r="F15" s="54"/>
      <c r="G15" s="2"/>
      <c r="H15" s="32">
        <f>B16+$K$6+S5</f>
        <v>0.4</v>
      </c>
      <c r="I15" s="33" t="str">
        <f>I9</f>
        <v>Equipe 5</v>
      </c>
      <c r="J15" s="33" t="str">
        <f>I10</f>
        <v>Equipe 6</v>
      </c>
      <c r="K15" s="57"/>
      <c r="L15" s="58"/>
      <c r="M15" s="76"/>
      <c r="N15" s="34">
        <f>F4</f>
        <v>0.375</v>
      </c>
      <c r="O15" s="35" t="str">
        <f>O9</f>
        <v>Equipe 9</v>
      </c>
      <c r="P15" s="35" t="str">
        <f>O10</f>
        <v>Equipe 10</v>
      </c>
      <c r="Q15" s="61"/>
      <c r="R15" s="62"/>
      <c r="S15" s="2"/>
      <c r="T15" s="36">
        <f>N16+$K$6+S5</f>
        <v>0.4</v>
      </c>
      <c r="U15" s="37" t="str">
        <f>U9</f>
        <v>Equipe 13</v>
      </c>
      <c r="V15" s="37" t="str">
        <f>U10</f>
        <v>Equipe 14</v>
      </c>
      <c r="W15" s="65"/>
      <c r="X15" s="66"/>
    </row>
    <row r="16" spans="2:24" ht="15.75" thickBot="1" x14ac:dyDescent="0.3">
      <c r="B16" s="38">
        <f>B15+$K$6+S5</f>
        <v>0.38750000000000001</v>
      </c>
      <c r="C16" s="39" t="str">
        <f>C11</f>
        <v>Equipe 3</v>
      </c>
      <c r="D16" s="39" t="str">
        <f>C12</f>
        <v>Equipe 4</v>
      </c>
      <c r="E16" s="55"/>
      <c r="F16" s="56"/>
      <c r="G16" s="2"/>
      <c r="H16" s="40">
        <f>H15+$K$6+S5</f>
        <v>0.41250000000000003</v>
      </c>
      <c r="I16" s="41" t="str">
        <f>I11</f>
        <v>Equipe 7</v>
      </c>
      <c r="J16" s="41" t="str">
        <f>I12</f>
        <v>Equipe 8</v>
      </c>
      <c r="K16" s="59"/>
      <c r="L16" s="60"/>
      <c r="M16" s="76"/>
      <c r="N16" s="42">
        <f>N15+$K$6+S5</f>
        <v>0.38750000000000001</v>
      </c>
      <c r="O16" s="43" t="str">
        <f>O11</f>
        <v>Equipe 11</v>
      </c>
      <c r="P16" s="43" t="str">
        <f>O12</f>
        <v>Equipe 12</v>
      </c>
      <c r="Q16" s="63"/>
      <c r="R16" s="64"/>
      <c r="S16" s="2"/>
      <c r="T16" s="44">
        <f>T15+$K$6+S5</f>
        <v>0.41250000000000003</v>
      </c>
      <c r="U16" s="45" t="str">
        <f>U11</f>
        <v>Equipe 15</v>
      </c>
      <c r="V16" s="45" t="str">
        <f>U12</f>
        <v>Equipe 16</v>
      </c>
      <c r="W16" s="67"/>
      <c r="X16" s="68"/>
    </row>
    <row r="17" spans="2:24" ht="5.0999999999999996" customHeight="1" thickBot="1" x14ac:dyDescent="0.3">
      <c r="B17" s="19"/>
      <c r="C17" s="2"/>
      <c r="D17" s="2"/>
      <c r="E17" s="489"/>
      <c r="F17" s="489"/>
      <c r="G17" s="2"/>
      <c r="H17" s="2"/>
      <c r="I17" s="2"/>
      <c r="J17" s="47"/>
      <c r="K17" s="489"/>
      <c r="L17" s="489"/>
      <c r="M17" s="85"/>
      <c r="N17" s="2"/>
      <c r="O17" s="2"/>
      <c r="P17" s="2"/>
      <c r="Q17" s="489"/>
      <c r="R17" s="489"/>
      <c r="S17" s="2"/>
      <c r="T17" s="2"/>
      <c r="U17" s="2"/>
      <c r="V17" s="2"/>
      <c r="W17" s="489"/>
      <c r="X17" s="490"/>
    </row>
    <row r="18" spans="2:24" s="29" customFormat="1" x14ac:dyDescent="0.25">
      <c r="B18" s="24"/>
      <c r="C18" s="713" t="s">
        <v>6</v>
      </c>
      <c r="D18" s="713"/>
      <c r="E18" s="713" t="s">
        <v>16</v>
      </c>
      <c r="F18" s="714"/>
      <c r="G18" s="25"/>
      <c r="H18" s="26"/>
      <c r="I18" s="715" t="s">
        <v>6</v>
      </c>
      <c r="J18" s="715"/>
      <c r="K18" s="715" t="s">
        <v>16</v>
      </c>
      <c r="L18" s="716"/>
      <c r="M18" s="77"/>
      <c r="N18" s="27"/>
      <c r="O18" s="786" t="s">
        <v>6</v>
      </c>
      <c r="P18" s="786"/>
      <c r="Q18" s="786" t="s">
        <v>16</v>
      </c>
      <c r="R18" s="787"/>
      <c r="S18" s="25"/>
      <c r="T18" s="28"/>
      <c r="U18" s="784" t="s">
        <v>6</v>
      </c>
      <c r="V18" s="784"/>
      <c r="W18" s="784" t="s">
        <v>16</v>
      </c>
      <c r="X18" s="785"/>
    </row>
    <row r="19" spans="2:24" x14ac:dyDescent="0.25">
      <c r="B19" s="30">
        <f>T16+$K$6+S5</f>
        <v>0.42500000000000004</v>
      </c>
      <c r="C19" s="31" t="str">
        <f>C9</f>
        <v>Equipe 1</v>
      </c>
      <c r="D19" s="31" t="str">
        <f>C11</f>
        <v>Equipe 3</v>
      </c>
      <c r="E19" s="53"/>
      <c r="F19" s="54"/>
      <c r="G19" s="2"/>
      <c r="H19" s="32">
        <f>B20+$K$6+S5</f>
        <v>0.45000000000000007</v>
      </c>
      <c r="I19" s="33" t="str">
        <f>I9</f>
        <v>Equipe 5</v>
      </c>
      <c r="J19" s="33" t="str">
        <f>I11</f>
        <v>Equipe 7</v>
      </c>
      <c r="K19" s="57"/>
      <c r="L19" s="58"/>
      <c r="M19" s="76"/>
      <c r="N19" s="34">
        <f>T16+$K$6+S5</f>
        <v>0.42500000000000004</v>
      </c>
      <c r="O19" s="35" t="str">
        <f>O9</f>
        <v>Equipe 9</v>
      </c>
      <c r="P19" s="35" t="str">
        <f>O11</f>
        <v>Equipe 11</v>
      </c>
      <c r="Q19" s="61"/>
      <c r="R19" s="62"/>
      <c r="S19" s="2"/>
      <c r="T19" s="36">
        <f>N20+$K$6+S5</f>
        <v>0.45000000000000007</v>
      </c>
      <c r="U19" s="37" t="str">
        <f>U9</f>
        <v>Equipe 13</v>
      </c>
      <c r="V19" s="37" t="str">
        <f>U11</f>
        <v>Equipe 15</v>
      </c>
      <c r="W19" s="65"/>
      <c r="X19" s="66"/>
    </row>
    <row r="20" spans="2:24" ht="15.75" thickBot="1" x14ac:dyDescent="0.3">
      <c r="B20" s="38">
        <f>B19+$K$6+S5</f>
        <v>0.43750000000000006</v>
      </c>
      <c r="C20" s="39" t="str">
        <f>C10</f>
        <v>Equipe 2</v>
      </c>
      <c r="D20" s="39" t="str">
        <f>C12</f>
        <v>Equipe 4</v>
      </c>
      <c r="E20" s="55"/>
      <c r="F20" s="56"/>
      <c r="G20" s="2"/>
      <c r="H20" s="40">
        <f>H19+$K$6+S5</f>
        <v>0.46250000000000008</v>
      </c>
      <c r="I20" s="41" t="str">
        <f>I10</f>
        <v>Equipe 6</v>
      </c>
      <c r="J20" s="41" t="str">
        <f>I12</f>
        <v>Equipe 8</v>
      </c>
      <c r="K20" s="59"/>
      <c r="L20" s="60"/>
      <c r="M20" s="76"/>
      <c r="N20" s="42">
        <f>N19+$K$6+S5</f>
        <v>0.43750000000000006</v>
      </c>
      <c r="O20" s="43" t="str">
        <f>O10</f>
        <v>Equipe 10</v>
      </c>
      <c r="P20" s="43" t="str">
        <f>O12</f>
        <v>Equipe 12</v>
      </c>
      <c r="Q20" s="63"/>
      <c r="R20" s="64"/>
      <c r="S20" s="2"/>
      <c r="T20" s="44">
        <f>T19+$K$6+S5</f>
        <v>0.46250000000000008</v>
      </c>
      <c r="U20" s="45" t="str">
        <f>U10</f>
        <v>Equipe 14</v>
      </c>
      <c r="V20" s="45" t="str">
        <f>U12</f>
        <v>Equipe 16</v>
      </c>
      <c r="W20" s="67"/>
      <c r="X20" s="68"/>
    </row>
    <row r="21" spans="2:24" ht="5.0999999999999996" customHeight="1" thickBot="1" x14ac:dyDescent="0.3">
      <c r="B21" s="19"/>
      <c r="C21" s="2"/>
      <c r="D21" s="2"/>
      <c r="E21" s="489"/>
      <c r="F21" s="489"/>
      <c r="G21" s="2"/>
      <c r="H21" s="2"/>
      <c r="I21" s="2"/>
      <c r="J21" s="47"/>
      <c r="K21" s="489"/>
      <c r="L21" s="489"/>
      <c r="M21" s="85"/>
      <c r="N21" s="2"/>
      <c r="O21" s="2"/>
      <c r="P21" s="2"/>
      <c r="Q21" s="489"/>
      <c r="R21" s="489"/>
      <c r="S21" s="2"/>
      <c r="T21" s="2"/>
      <c r="U21" s="2"/>
      <c r="V21" s="2"/>
      <c r="W21" s="489"/>
      <c r="X21" s="490"/>
    </row>
    <row r="22" spans="2:24" s="29" customFormat="1" x14ac:dyDescent="0.25">
      <c r="B22" s="24"/>
      <c r="C22" s="713" t="s">
        <v>7</v>
      </c>
      <c r="D22" s="713"/>
      <c r="E22" s="713" t="s">
        <v>16</v>
      </c>
      <c r="F22" s="714"/>
      <c r="G22" s="25"/>
      <c r="H22" s="26"/>
      <c r="I22" s="715" t="s">
        <v>7</v>
      </c>
      <c r="J22" s="715"/>
      <c r="K22" s="715" t="s">
        <v>16</v>
      </c>
      <c r="L22" s="716"/>
      <c r="M22" s="77"/>
      <c r="N22" s="27"/>
      <c r="O22" s="786" t="s">
        <v>7</v>
      </c>
      <c r="P22" s="786"/>
      <c r="Q22" s="786" t="s">
        <v>16</v>
      </c>
      <c r="R22" s="787"/>
      <c r="S22" s="25"/>
      <c r="T22" s="28"/>
      <c r="U22" s="784" t="s">
        <v>7</v>
      </c>
      <c r="V22" s="784"/>
      <c r="W22" s="784" t="s">
        <v>16</v>
      </c>
      <c r="X22" s="785"/>
    </row>
    <row r="23" spans="2:24" x14ac:dyDescent="0.25">
      <c r="B23" s="30">
        <f>H20+$K$6+S5</f>
        <v>0.47500000000000009</v>
      </c>
      <c r="C23" s="31" t="str">
        <f>C9</f>
        <v>Equipe 1</v>
      </c>
      <c r="D23" s="31" t="str">
        <f>C12</f>
        <v>Equipe 4</v>
      </c>
      <c r="E23" s="53"/>
      <c r="F23" s="54"/>
      <c r="G23" s="2"/>
      <c r="H23" s="32">
        <f>B24+$K$6+S5</f>
        <v>0.50000000000000011</v>
      </c>
      <c r="I23" s="33" t="str">
        <f>I9</f>
        <v>Equipe 5</v>
      </c>
      <c r="J23" s="33" t="str">
        <f>I12</f>
        <v>Equipe 8</v>
      </c>
      <c r="K23" s="57"/>
      <c r="L23" s="58"/>
      <c r="M23" s="76"/>
      <c r="N23" s="34">
        <f>T20+$K$6+S5</f>
        <v>0.47500000000000009</v>
      </c>
      <c r="O23" s="35" t="str">
        <f>O9</f>
        <v>Equipe 9</v>
      </c>
      <c r="P23" s="35" t="str">
        <f>O12</f>
        <v>Equipe 12</v>
      </c>
      <c r="Q23" s="61"/>
      <c r="R23" s="62"/>
      <c r="S23" s="2"/>
      <c r="T23" s="36">
        <f>N24+$K$6+S5</f>
        <v>0.50000000000000011</v>
      </c>
      <c r="U23" s="37" t="str">
        <f>U9</f>
        <v>Equipe 13</v>
      </c>
      <c r="V23" s="37" t="str">
        <f>U12</f>
        <v>Equipe 16</v>
      </c>
      <c r="W23" s="65"/>
      <c r="X23" s="66"/>
    </row>
    <row r="24" spans="2:24" ht="15.75" thickBot="1" x14ac:dyDescent="0.3">
      <c r="B24" s="38">
        <f>B23+$K$6+S5</f>
        <v>0.4875000000000001</v>
      </c>
      <c r="C24" s="39" t="str">
        <f>C10</f>
        <v>Equipe 2</v>
      </c>
      <c r="D24" s="39" t="str">
        <f>C11</f>
        <v>Equipe 3</v>
      </c>
      <c r="E24" s="55"/>
      <c r="F24" s="56"/>
      <c r="G24" s="47"/>
      <c r="H24" s="40">
        <f>H23+$K$6+S5</f>
        <v>0.51250000000000007</v>
      </c>
      <c r="I24" s="41" t="str">
        <f>I10</f>
        <v>Equipe 6</v>
      </c>
      <c r="J24" s="41" t="str">
        <f>I11</f>
        <v>Equipe 7</v>
      </c>
      <c r="K24" s="59"/>
      <c r="L24" s="60"/>
      <c r="M24" s="78"/>
      <c r="N24" s="42">
        <f>N23+$K$6+S5</f>
        <v>0.4875000000000001</v>
      </c>
      <c r="O24" s="43" t="str">
        <f>O10</f>
        <v>Equipe 10</v>
      </c>
      <c r="P24" s="43" t="str">
        <f>O11</f>
        <v>Equipe 11</v>
      </c>
      <c r="Q24" s="63"/>
      <c r="R24" s="64"/>
      <c r="S24" s="47"/>
      <c r="T24" s="44">
        <f>T23+$K$6+S5</f>
        <v>0.51250000000000007</v>
      </c>
      <c r="U24" s="45" t="str">
        <f>U10</f>
        <v>Equipe 14</v>
      </c>
      <c r="V24" s="45" t="str">
        <f>U11</f>
        <v>Equipe 15</v>
      </c>
      <c r="W24" s="67"/>
      <c r="X24" s="68"/>
    </row>
    <row r="25" spans="2:24" ht="5.0999999999999996" customHeight="1" thickBot="1" x14ac:dyDescent="0.3">
      <c r="B25" s="118"/>
      <c r="C25" s="119"/>
      <c r="D25" s="119"/>
      <c r="E25" s="173"/>
      <c r="F25" s="173"/>
      <c r="G25" s="89"/>
      <c r="H25" s="120"/>
      <c r="I25" s="119"/>
      <c r="J25" s="119"/>
      <c r="K25" s="173"/>
      <c r="L25" s="173"/>
      <c r="M25" s="89"/>
      <c r="N25" s="120"/>
      <c r="O25" s="119"/>
      <c r="P25" s="119"/>
      <c r="Q25" s="173"/>
      <c r="R25" s="173"/>
      <c r="S25" s="89"/>
      <c r="T25" s="93"/>
      <c r="U25" s="492"/>
      <c r="V25" s="492"/>
      <c r="W25" s="116"/>
      <c r="X25" s="117"/>
    </row>
    <row r="26" spans="2:24" ht="16.5" thickBot="1" x14ac:dyDescent="0.3">
      <c r="B26" s="783" t="s">
        <v>60</v>
      </c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3"/>
    </row>
    <row r="27" spans="2:24" x14ac:dyDescent="0.25">
      <c r="B27" s="81" t="s">
        <v>21</v>
      </c>
      <c r="C27" s="711" t="s">
        <v>41</v>
      </c>
      <c r="D27" s="711"/>
      <c r="E27" s="711" t="s">
        <v>15</v>
      </c>
      <c r="F27" s="712"/>
      <c r="G27" s="122"/>
      <c r="H27" s="81" t="s">
        <v>21</v>
      </c>
      <c r="I27" s="711" t="s">
        <v>42</v>
      </c>
      <c r="J27" s="711"/>
      <c r="K27" s="711" t="s">
        <v>15</v>
      </c>
      <c r="L27" s="712"/>
      <c r="M27" s="75"/>
      <c r="N27" s="81" t="s">
        <v>21</v>
      </c>
      <c r="O27" s="711" t="s">
        <v>43</v>
      </c>
      <c r="P27" s="711"/>
      <c r="Q27" s="711" t="s">
        <v>15</v>
      </c>
      <c r="R27" s="712"/>
      <c r="S27" s="122"/>
      <c r="T27" s="81" t="s">
        <v>21</v>
      </c>
      <c r="U27" s="711" t="s">
        <v>55</v>
      </c>
      <c r="V27" s="711"/>
      <c r="W27" s="711" t="s">
        <v>15</v>
      </c>
      <c r="X27" s="712"/>
    </row>
    <row r="28" spans="2:24" x14ac:dyDescent="0.25">
      <c r="B28" s="49">
        <v>1</v>
      </c>
      <c r="C28" s="680" t="str">
        <f>VLOOKUP($B28,$B$116:$E$119,2,FALSE)</f>
        <v>Equipe 1</v>
      </c>
      <c r="D28" s="680"/>
      <c r="E28" s="683">
        <f>VLOOKUP($B28,$B$116:$E$119,4,FALSE)</f>
        <v>3.9999999999999998E-7</v>
      </c>
      <c r="F28" s="684"/>
      <c r="G28" s="105"/>
      <c r="H28" s="49">
        <v>1</v>
      </c>
      <c r="I28" s="680" t="str">
        <f>VLOOKUP($H28,$H$116:$K$119,2,FALSE)</f>
        <v>Equipe 5</v>
      </c>
      <c r="J28" s="680"/>
      <c r="K28" s="681">
        <f>VLOOKUP($H28,$H$116:$K$119,4,FALSE)</f>
        <v>3.9999999999999998E-7</v>
      </c>
      <c r="L28" s="682"/>
      <c r="M28" s="76"/>
      <c r="N28" s="49">
        <v>1</v>
      </c>
      <c r="O28" s="680" t="str">
        <f>VLOOKUP($N28,$N$116:$Q$119,2,FALSE)</f>
        <v>Equipe 9</v>
      </c>
      <c r="P28" s="680"/>
      <c r="Q28" s="681">
        <f>VLOOKUP($N28,$N$116:$Q$119,4,FALSE)</f>
        <v>3.9999999999999998E-7</v>
      </c>
      <c r="R28" s="682"/>
      <c r="S28" s="105"/>
      <c r="T28" s="49">
        <v>1</v>
      </c>
      <c r="U28" s="680" t="str">
        <f>VLOOKUP($T28,$T$116:$W$119,2,FALSE)</f>
        <v>Equipe 13</v>
      </c>
      <c r="V28" s="680"/>
      <c r="W28" s="681">
        <f>VLOOKUP($T28,$T$116:$W$119,4,FALSE)</f>
        <v>3.9999999999999998E-7</v>
      </c>
      <c r="X28" s="682"/>
    </row>
    <row r="29" spans="2:24" x14ac:dyDescent="0.25">
      <c r="B29" s="49">
        <v>2</v>
      </c>
      <c r="C29" s="680" t="str">
        <f>VLOOKUP($B29,$B$116:$E$119,2,FALSE)</f>
        <v>Equipe 2</v>
      </c>
      <c r="D29" s="680"/>
      <c r="E29" s="683">
        <f>VLOOKUP($B29,$B$116:$E$119,4,FALSE)</f>
        <v>2.9999999999999999E-7</v>
      </c>
      <c r="F29" s="684"/>
      <c r="G29" s="105"/>
      <c r="H29" s="49">
        <v>2</v>
      </c>
      <c r="I29" s="680" t="str">
        <f>VLOOKUP($H29,$H$116:$K$119,2,FALSE)</f>
        <v>Equipe 6</v>
      </c>
      <c r="J29" s="680"/>
      <c r="K29" s="681">
        <f>VLOOKUP($H29,$H$116:$K$119,4,FALSE)</f>
        <v>2.9999999999999999E-7</v>
      </c>
      <c r="L29" s="682"/>
      <c r="M29" s="76"/>
      <c r="N29" s="49">
        <v>2</v>
      </c>
      <c r="O29" s="680" t="str">
        <f>VLOOKUP($N29,$N$116:$Q$119,2,FALSE)</f>
        <v>Equipe 10</v>
      </c>
      <c r="P29" s="680"/>
      <c r="Q29" s="681">
        <f>VLOOKUP($N29,$N$116:$Q$119,4,FALSE)</f>
        <v>2.9999999999999999E-7</v>
      </c>
      <c r="R29" s="682"/>
      <c r="S29" s="105"/>
      <c r="T29" s="49">
        <v>2</v>
      </c>
      <c r="U29" s="680" t="str">
        <f>VLOOKUP($T29,$T$116:$W$119,2,FALSE)</f>
        <v>Equipe 14</v>
      </c>
      <c r="V29" s="680"/>
      <c r="W29" s="681">
        <f>VLOOKUP($T29,$T$116:$W$119,4,FALSE)</f>
        <v>2.9999999999999999E-7</v>
      </c>
      <c r="X29" s="682"/>
    </row>
    <row r="30" spans="2:24" x14ac:dyDescent="0.25">
      <c r="B30" s="49">
        <v>3</v>
      </c>
      <c r="C30" s="680" t="str">
        <f>VLOOKUP($B30,$B$116:$E$119,2,FALSE)</f>
        <v>Equipe 3</v>
      </c>
      <c r="D30" s="680"/>
      <c r="E30" s="683">
        <f>VLOOKUP($B30,$B$116:$E$119,4,FALSE)</f>
        <v>1.9999999999999999E-7</v>
      </c>
      <c r="F30" s="684"/>
      <c r="G30" s="105"/>
      <c r="H30" s="49">
        <v>3</v>
      </c>
      <c r="I30" s="680" t="str">
        <f>VLOOKUP($H30,$H$116:$K$119,2,FALSE)</f>
        <v>Equipe 7</v>
      </c>
      <c r="J30" s="680"/>
      <c r="K30" s="681">
        <f>VLOOKUP($H30,$H$116:$K$119,4,FALSE)</f>
        <v>1.9999999999999999E-7</v>
      </c>
      <c r="L30" s="682"/>
      <c r="M30" s="76"/>
      <c r="N30" s="49">
        <v>3</v>
      </c>
      <c r="O30" s="680" t="str">
        <f>VLOOKUP($N30,$N$116:$Q$119,2,FALSE)</f>
        <v>Equipe 11</v>
      </c>
      <c r="P30" s="680"/>
      <c r="Q30" s="681">
        <f>VLOOKUP($N30,$N$116:$Q$119,4,FALSE)</f>
        <v>1.9999999999999999E-7</v>
      </c>
      <c r="R30" s="682"/>
      <c r="S30" s="105"/>
      <c r="T30" s="49">
        <v>3</v>
      </c>
      <c r="U30" s="680" t="str">
        <f>VLOOKUP($T30,$T$116:$W$119,2,FALSE)</f>
        <v>Equipe 15</v>
      </c>
      <c r="V30" s="680"/>
      <c r="W30" s="681">
        <f>VLOOKUP($T30,$T$116:$W$119,4,FALSE)</f>
        <v>1.9999999999999999E-7</v>
      </c>
      <c r="X30" s="682"/>
    </row>
    <row r="31" spans="2:24" ht="15.75" thickBot="1" x14ac:dyDescent="0.3">
      <c r="B31" s="50">
        <v>4</v>
      </c>
      <c r="C31" s="706" t="str">
        <f>VLOOKUP($B31,$B$116:$E$119,2,FALSE)</f>
        <v>Equipe 4</v>
      </c>
      <c r="D31" s="706"/>
      <c r="E31" s="707">
        <f>VLOOKUP($B31,$B$116:$E$119,4,FALSE)</f>
        <v>9.9999999999999995E-8</v>
      </c>
      <c r="F31" s="708"/>
      <c r="G31" s="123"/>
      <c r="H31" s="50">
        <v>4</v>
      </c>
      <c r="I31" s="706" t="str">
        <f>VLOOKUP($H31,$H$116:$K$119,2,FALSE)</f>
        <v>Equipe 8</v>
      </c>
      <c r="J31" s="706"/>
      <c r="K31" s="709">
        <f>VLOOKUP($H31,$H$116:$K$119,4,FALSE)</f>
        <v>9.9999999999999995E-8</v>
      </c>
      <c r="L31" s="710"/>
      <c r="M31" s="78"/>
      <c r="N31" s="50">
        <v>4</v>
      </c>
      <c r="O31" s="706" t="str">
        <f>VLOOKUP($N31,$N$116:$Q$119,2,FALSE)</f>
        <v>Equipe 12</v>
      </c>
      <c r="P31" s="706"/>
      <c r="Q31" s="709">
        <f>VLOOKUP($N31,$N$116:$Q$119,4,FALSE)</f>
        <v>9.9999999999999995E-8</v>
      </c>
      <c r="R31" s="710"/>
      <c r="S31" s="123"/>
      <c r="T31" s="50">
        <v>4</v>
      </c>
      <c r="U31" s="706" t="str">
        <f>VLOOKUP($T31,$T$116:$W$119,2,FALSE)</f>
        <v>Equipe 16</v>
      </c>
      <c r="V31" s="706"/>
      <c r="W31" s="709">
        <f>VLOOKUP($T31,$T$116:$W$119,4,FALSE)</f>
        <v>9.9999999999999995E-8</v>
      </c>
      <c r="X31" s="710"/>
    </row>
    <row r="32" spans="2:24" ht="15.75" thickBot="1" x14ac:dyDescent="0.3">
      <c r="B32" s="703" t="s">
        <v>34</v>
      </c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4"/>
      <c r="X32" s="705"/>
    </row>
    <row r="33" spans="2:25" ht="16.5" thickBot="1" x14ac:dyDescent="0.3">
      <c r="B33" s="780" t="s">
        <v>250</v>
      </c>
      <c r="C33" s="686"/>
      <c r="D33" s="686"/>
      <c r="E33" s="686"/>
      <c r="F33" s="686"/>
      <c r="G33" s="686"/>
      <c r="H33" s="686"/>
      <c r="I33" s="686"/>
      <c r="J33" s="686"/>
      <c r="K33" s="686"/>
      <c r="L33" s="781"/>
      <c r="M33" s="446"/>
      <c r="N33" s="780" t="s">
        <v>251</v>
      </c>
      <c r="O33" s="686"/>
      <c r="P33" s="686"/>
      <c r="Q33" s="686"/>
      <c r="R33" s="686"/>
      <c r="S33" s="686"/>
      <c r="T33" s="686"/>
      <c r="U33" s="686"/>
      <c r="V33" s="686"/>
      <c r="W33" s="686"/>
      <c r="X33" s="781"/>
    </row>
    <row r="34" spans="2:25" ht="24.95" customHeight="1" x14ac:dyDescent="0.25">
      <c r="B34" s="6"/>
      <c r="C34" s="744" t="s">
        <v>91</v>
      </c>
      <c r="D34" s="745"/>
      <c r="E34" s="744" t="s">
        <v>15</v>
      </c>
      <c r="F34" s="746"/>
      <c r="G34" s="102"/>
      <c r="H34" s="7"/>
      <c r="I34" s="747" t="s">
        <v>92</v>
      </c>
      <c r="J34" s="748"/>
      <c r="K34" s="747" t="s">
        <v>15</v>
      </c>
      <c r="L34" s="749"/>
      <c r="M34" s="76"/>
      <c r="N34" s="8"/>
      <c r="O34" s="804" t="s">
        <v>264</v>
      </c>
      <c r="P34" s="805"/>
      <c r="Q34" s="804" t="s">
        <v>15</v>
      </c>
      <c r="R34" s="806"/>
      <c r="S34" s="2"/>
      <c r="T34" s="9"/>
      <c r="U34" s="807" t="s">
        <v>265</v>
      </c>
      <c r="V34" s="808"/>
      <c r="W34" s="807" t="s">
        <v>15</v>
      </c>
      <c r="X34" s="809"/>
    </row>
    <row r="35" spans="2:25" ht="16.350000000000001" customHeight="1" x14ac:dyDescent="0.25">
      <c r="B35" s="10">
        <v>1</v>
      </c>
      <c r="C35" s="731" t="s">
        <v>93</v>
      </c>
      <c r="D35" s="732"/>
      <c r="E35" s="725">
        <f>B147+B151+B155+D142/1000000</f>
        <v>0</v>
      </c>
      <c r="F35" s="726"/>
      <c r="G35" s="103"/>
      <c r="H35" s="11">
        <v>1</v>
      </c>
      <c r="I35" s="727" t="s">
        <v>97</v>
      </c>
      <c r="J35" s="728"/>
      <c r="K35" s="729">
        <f>H147+H151+H155+J142/1000000</f>
        <v>0</v>
      </c>
      <c r="L35" s="730"/>
      <c r="M35" s="76"/>
      <c r="N35" s="12">
        <v>1</v>
      </c>
      <c r="O35" s="800" t="s">
        <v>266</v>
      </c>
      <c r="P35" s="801"/>
      <c r="Q35" s="802">
        <f>N147+N151+N155+P142/1000000</f>
        <v>0</v>
      </c>
      <c r="R35" s="803"/>
      <c r="S35" s="2"/>
      <c r="T35" s="13">
        <v>1</v>
      </c>
      <c r="U35" s="796" t="s">
        <v>270</v>
      </c>
      <c r="V35" s="797"/>
      <c r="W35" s="798">
        <f>T147+T151+T155+V142/1000000</f>
        <v>0</v>
      </c>
      <c r="X35" s="799"/>
      <c r="Y35" s="74"/>
    </row>
    <row r="36" spans="2:25" ht="16.350000000000001" customHeight="1" x14ac:dyDescent="0.25">
      <c r="B36" s="10">
        <v>2</v>
      </c>
      <c r="C36" s="731" t="s">
        <v>94</v>
      </c>
      <c r="D36" s="732"/>
      <c r="E36" s="725">
        <f>C147+B152+B156+D143/1000000</f>
        <v>0</v>
      </c>
      <c r="F36" s="726"/>
      <c r="G36" s="103"/>
      <c r="H36" s="11">
        <v>2</v>
      </c>
      <c r="I36" s="727" t="s">
        <v>98</v>
      </c>
      <c r="J36" s="728"/>
      <c r="K36" s="729">
        <f>I147+H152+H156+J143/1000000</f>
        <v>0</v>
      </c>
      <c r="L36" s="730"/>
      <c r="M36" s="76"/>
      <c r="N36" s="12">
        <v>2</v>
      </c>
      <c r="O36" s="800" t="s">
        <v>267</v>
      </c>
      <c r="P36" s="801"/>
      <c r="Q36" s="802">
        <f>O147+N152+N156+P143/1000000</f>
        <v>0</v>
      </c>
      <c r="R36" s="803"/>
      <c r="S36" s="2"/>
      <c r="T36" s="13">
        <v>2</v>
      </c>
      <c r="U36" s="796" t="s">
        <v>271</v>
      </c>
      <c r="V36" s="797"/>
      <c r="W36" s="798">
        <f>U147+T152+T156+V143/1000000</f>
        <v>0</v>
      </c>
      <c r="X36" s="799"/>
      <c r="Y36" s="74"/>
    </row>
    <row r="37" spans="2:25" ht="16.350000000000001" customHeight="1" x14ac:dyDescent="0.25">
      <c r="B37" s="10">
        <v>3</v>
      </c>
      <c r="C37" s="731" t="s">
        <v>95</v>
      </c>
      <c r="D37" s="732"/>
      <c r="E37" s="725">
        <f>B148+C151+C156+D144/1000000</f>
        <v>0</v>
      </c>
      <c r="F37" s="726"/>
      <c r="G37" s="103"/>
      <c r="H37" s="11">
        <v>3</v>
      </c>
      <c r="I37" s="727" t="s">
        <v>99</v>
      </c>
      <c r="J37" s="728"/>
      <c r="K37" s="729">
        <f>H148+I151+I156+J144/1000000</f>
        <v>0</v>
      </c>
      <c r="L37" s="730"/>
      <c r="M37" s="76"/>
      <c r="N37" s="12">
        <v>3</v>
      </c>
      <c r="O37" s="800" t="s">
        <v>268</v>
      </c>
      <c r="P37" s="801"/>
      <c r="Q37" s="802">
        <f>N148+O151+O156+P144/1000000</f>
        <v>0</v>
      </c>
      <c r="R37" s="803"/>
      <c r="S37" s="2"/>
      <c r="T37" s="13">
        <v>3</v>
      </c>
      <c r="U37" s="796" t="s">
        <v>272</v>
      </c>
      <c r="V37" s="797"/>
      <c r="W37" s="798">
        <f>T148+U151+U156+V144/1000000</f>
        <v>0</v>
      </c>
      <c r="X37" s="799"/>
    </row>
    <row r="38" spans="2:25" ht="16.350000000000001" customHeight="1" thickBot="1" x14ac:dyDescent="0.3">
      <c r="B38" s="15">
        <v>4</v>
      </c>
      <c r="C38" s="731" t="s">
        <v>96</v>
      </c>
      <c r="D38" s="732"/>
      <c r="E38" s="719">
        <f>C148+C152+C155+D145/1000000</f>
        <v>0</v>
      </c>
      <c r="F38" s="720"/>
      <c r="G38" s="103"/>
      <c r="H38" s="16">
        <v>4</v>
      </c>
      <c r="I38" s="727" t="s">
        <v>100</v>
      </c>
      <c r="J38" s="728"/>
      <c r="K38" s="723">
        <f>I148+I152+I155+J145/1000000</f>
        <v>0</v>
      </c>
      <c r="L38" s="724"/>
      <c r="M38" s="76"/>
      <c r="N38" s="17">
        <v>4</v>
      </c>
      <c r="O38" s="800" t="s">
        <v>269</v>
      </c>
      <c r="P38" s="801"/>
      <c r="Q38" s="794">
        <f>O148+O152+O155+P145/1000000</f>
        <v>0</v>
      </c>
      <c r="R38" s="795"/>
      <c r="S38" s="2"/>
      <c r="T38" s="18">
        <v>4</v>
      </c>
      <c r="U38" s="796" t="s">
        <v>273</v>
      </c>
      <c r="V38" s="797"/>
      <c r="W38" s="790">
        <f>U148+U152+U155+V145/1000000</f>
        <v>0</v>
      </c>
      <c r="X38" s="791"/>
    </row>
    <row r="39" spans="2:25" ht="5.0999999999999996" customHeight="1" thickBot="1" x14ac:dyDescent="0.3">
      <c r="B39" s="19"/>
      <c r="C39" s="2"/>
      <c r="D39" s="2"/>
      <c r="E39" s="2"/>
      <c r="F39" s="2"/>
      <c r="G39" s="2"/>
      <c r="H39" s="2"/>
      <c r="I39" s="2"/>
      <c r="J39" s="22"/>
      <c r="K39" s="2"/>
      <c r="L39" s="2"/>
      <c r="M39" s="85"/>
      <c r="N39" s="2"/>
      <c r="O39" s="2"/>
      <c r="P39" s="2"/>
      <c r="Q39" s="2"/>
      <c r="R39" s="2"/>
      <c r="S39" s="2"/>
      <c r="T39" s="2"/>
      <c r="U39" s="2"/>
      <c r="V39" s="2"/>
      <c r="W39" s="2"/>
      <c r="X39" s="21"/>
    </row>
    <row r="40" spans="2:25" x14ac:dyDescent="0.25">
      <c r="B40" s="24"/>
      <c r="C40" s="713" t="s">
        <v>5</v>
      </c>
      <c r="D40" s="713"/>
      <c r="E40" s="713" t="s">
        <v>16</v>
      </c>
      <c r="F40" s="714"/>
      <c r="G40" s="25"/>
      <c r="H40" s="26"/>
      <c r="I40" s="715" t="s">
        <v>5</v>
      </c>
      <c r="J40" s="715"/>
      <c r="K40" s="715" t="s">
        <v>16</v>
      </c>
      <c r="L40" s="716"/>
      <c r="M40" s="77"/>
      <c r="N40" s="27"/>
      <c r="O40" s="786" t="s">
        <v>5</v>
      </c>
      <c r="P40" s="786"/>
      <c r="Q40" s="786" t="s">
        <v>16</v>
      </c>
      <c r="R40" s="787"/>
      <c r="S40" s="25"/>
      <c r="T40" s="28"/>
      <c r="U40" s="784" t="s">
        <v>5</v>
      </c>
      <c r="V40" s="784"/>
      <c r="W40" s="784" t="s">
        <v>16</v>
      </c>
      <c r="X40" s="785"/>
    </row>
    <row r="41" spans="2:25" ht="14.45" customHeight="1" x14ac:dyDescent="0.25">
      <c r="B41" s="30">
        <f>F4</f>
        <v>0.375</v>
      </c>
      <c r="C41" s="31" t="str">
        <f>C35</f>
        <v>Equipe 17</v>
      </c>
      <c r="D41" s="31" t="str">
        <f>C36</f>
        <v>Equipe 18</v>
      </c>
      <c r="E41" s="53"/>
      <c r="F41" s="54"/>
      <c r="G41" s="2"/>
      <c r="H41" s="32">
        <f>B42+$K$6+S5</f>
        <v>0.4</v>
      </c>
      <c r="I41" s="33" t="str">
        <f>I35</f>
        <v>Equipe 21</v>
      </c>
      <c r="J41" s="33" t="str">
        <f>I36</f>
        <v>Equipe 22</v>
      </c>
      <c r="K41" s="57"/>
      <c r="L41" s="58"/>
      <c r="M41" s="76"/>
      <c r="N41" s="34">
        <f>F4</f>
        <v>0.375</v>
      </c>
      <c r="O41" s="35" t="str">
        <f>O35</f>
        <v>Equipe 25</v>
      </c>
      <c r="P41" s="35" t="str">
        <f>O36</f>
        <v>Equipe 26</v>
      </c>
      <c r="Q41" s="61"/>
      <c r="R41" s="62"/>
      <c r="S41" s="2"/>
      <c r="T41" s="36">
        <f>N42+$K$6+S5</f>
        <v>0.4</v>
      </c>
      <c r="U41" s="37" t="str">
        <f>U35</f>
        <v>Equipe 29</v>
      </c>
      <c r="V41" s="37" t="str">
        <f>U36</f>
        <v>Equipe 30</v>
      </c>
      <c r="W41" s="65"/>
      <c r="X41" s="66"/>
    </row>
    <row r="42" spans="2:25" ht="14.45" customHeight="1" thickBot="1" x14ac:dyDescent="0.3">
      <c r="B42" s="38">
        <f>B41+$K$6+S5</f>
        <v>0.38750000000000001</v>
      </c>
      <c r="C42" s="39" t="str">
        <f>C37</f>
        <v>Equipe 19</v>
      </c>
      <c r="D42" s="39" t="str">
        <f>C38</f>
        <v>Equipe 20</v>
      </c>
      <c r="E42" s="55"/>
      <c r="F42" s="56"/>
      <c r="G42" s="2"/>
      <c r="H42" s="40">
        <f>H41+$K$6+S5</f>
        <v>0.41250000000000003</v>
      </c>
      <c r="I42" s="41" t="str">
        <f>I37</f>
        <v>Equipe 23</v>
      </c>
      <c r="J42" s="41" t="str">
        <f>I38</f>
        <v>Equipe 24</v>
      </c>
      <c r="K42" s="59"/>
      <c r="L42" s="60"/>
      <c r="M42" s="76"/>
      <c r="N42" s="42">
        <f>N41+$K$6+S5</f>
        <v>0.38750000000000001</v>
      </c>
      <c r="O42" s="43" t="str">
        <f>O37</f>
        <v>Equipe 27</v>
      </c>
      <c r="P42" s="43" t="str">
        <f>O38</f>
        <v>Equipe 28</v>
      </c>
      <c r="Q42" s="63"/>
      <c r="R42" s="64"/>
      <c r="S42" s="2"/>
      <c r="T42" s="44">
        <f>T41+$K$6+S5</f>
        <v>0.41250000000000003</v>
      </c>
      <c r="U42" s="45" t="str">
        <f>U37</f>
        <v>Equipe 31</v>
      </c>
      <c r="V42" s="45" t="str">
        <f>U38</f>
        <v>Equipe 32</v>
      </c>
      <c r="W42" s="67"/>
      <c r="X42" s="68"/>
    </row>
    <row r="43" spans="2:25" ht="5.0999999999999996" customHeight="1" thickBot="1" x14ac:dyDescent="0.3">
      <c r="B43" s="19"/>
      <c r="C43" s="2"/>
      <c r="D43" s="2"/>
      <c r="E43" s="489"/>
      <c r="F43" s="489"/>
      <c r="G43" s="2"/>
      <c r="H43" s="2"/>
      <c r="I43" s="2"/>
      <c r="J43" s="47"/>
      <c r="K43" s="489"/>
      <c r="L43" s="489"/>
      <c r="M43" s="85"/>
      <c r="N43" s="2"/>
      <c r="O43" s="2"/>
      <c r="P43" s="2"/>
      <c r="Q43" s="489"/>
      <c r="R43" s="489"/>
      <c r="S43" s="2"/>
      <c r="T43" s="2"/>
      <c r="U43" s="2"/>
      <c r="V43" s="2"/>
      <c r="W43" s="489"/>
      <c r="X43" s="490"/>
    </row>
    <row r="44" spans="2:25" x14ac:dyDescent="0.25">
      <c r="B44" s="24"/>
      <c r="C44" s="713" t="s">
        <v>6</v>
      </c>
      <c r="D44" s="713"/>
      <c r="E44" s="713" t="s">
        <v>16</v>
      </c>
      <c r="F44" s="714"/>
      <c r="G44" s="25"/>
      <c r="H44" s="26"/>
      <c r="I44" s="715" t="s">
        <v>6</v>
      </c>
      <c r="J44" s="715"/>
      <c r="K44" s="715" t="s">
        <v>16</v>
      </c>
      <c r="L44" s="716"/>
      <c r="M44" s="77"/>
      <c r="N44" s="27"/>
      <c r="O44" s="786" t="s">
        <v>6</v>
      </c>
      <c r="P44" s="786"/>
      <c r="Q44" s="786" t="s">
        <v>16</v>
      </c>
      <c r="R44" s="787"/>
      <c r="S44" s="25"/>
      <c r="T44" s="28"/>
      <c r="U44" s="784" t="s">
        <v>6</v>
      </c>
      <c r="V44" s="784"/>
      <c r="W44" s="784" t="s">
        <v>16</v>
      </c>
      <c r="X44" s="785"/>
    </row>
    <row r="45" spans="2:25" ht="14.45" customHeight="1" x14ac:dyDescent="0.25">
      <c r="B45" s="30">
        <f>H42+$K$6+S5</f>
        <v>0.42500000000000004</v>
      </c>
      <c r="C45" s="31" t="str">
        <f>C35</f>
        <v>Equipe 17</v>
      </c>
      <c r="D45" s="31" t="str">
        <f>C37</f>
        <v>Equipe 19</v>
      </c>
      <c r="E45" s="53"/>
      <c r="F45" s="54"/>
      <c r="G45" s="2"/>
      <c r="H45" s="32">
        <f>B46+$K$6+S5</f>
        <v>0.45000000000000007</v>
      </c>
      <c r="I45" s="33" t="str">
        <f>I35</f>
        <v>Equipe 21</v>
      </c>
      <c r="J45" s="33" t="str">
        <f>I37</f>
        <v>Equipe 23</v>
      </c>
      <c r="K45" s="57"/>
      <c r="L45" s="58"/>
      <c r="M45" s="76"/>
      <c r="N45" s="34">
        <f>T42+$K$6+S5</f>
        <v>0.42500000000000004</v>
      </c>
      <c r="O45" s="35" t="str">
        <f>O35</f>
        <v>Equipe 25</v>
      </c>
      <c r="P45" s="35" t="str">
        <f>O37</f>
        <v>Equipe 27</v>
      </c>
      <c r="Q45" s="61"/>
      <c r="R45" s="62"/>
      <c r="S45" s="2"/>
      <c r="T45" s="36">
        <f>N46+$K$6+S5</f>
        <v>0.45000000000000007</v>
      </c>
      <c r="U45" s="37" t="str">
        <f>U35</f>
        <v>Equipe 29</v>
      </c>
      <c r="V45" s="37" t="str">
        <f>U37</f>
        <v>Equipe 31</v>
      </c>
      <c r="W45" s="65"/>
      <c r="X45" s="66"/>
    </row>
    <row r="46" spans="2:25" ht="14.45" customHeight="1" thickBot="1" x14ac:dyDescent="0.3">
      <c r="B46" s="38">
        <f>B45+$K$6+S5</f>
        <v>0.43750000000000006</v>
      </c>
      <c r="C46" s="39" t="str">
        <f>C36</f>
        <v>Equipe 18</v>
      </c>
      <c r="D46" s="39" t="str">
        <f>C38</f>
        <v>Equipe 20</v>
      </c>
      <c r="E46" s="55"/>
      <c r="F46" s="56"/>
      <c r="G46" s="2"/>
      <c r="H46" s="40">
        <f>H45+$K$6+S5</f>
        <v>0.46250000000000008</v>
      </c>
      <c r="I46" s="41" t="str">
        <f>I36</f>
        <v>Equipe 22</v>
      </c>
      <c r="J46" s="41" t="str">
        <f>I38</f>
        <v>Equipe 24</v>
      </c>
      <c r="K46" s="59"/>
      <c r="L46" s="60"/>
      <c r="M46" s="76"/>
      <c r="N46" s="42">
        <f>N45+$K$6+S5</f>
        <v>0.43750000000000006</v>
      </c>
      <c r="O46" s="43" t="str">
        <f>O36</f>
        <v>Equipe 26</v>
      </c>
      <c r="P46" s="43" t="str">
        <f>O38</f>
        <v>Equipe 28</v>
      </c>
      <c r="Q46" s="63"/>
      <c r="R46" s="64"/>
      <c r="S46" s="2"/>
      <c r="T46" s="44">
        <f>T45+$K$6+S5</f>
        <v>0.46250000000000008</v>
      </c>
      <c r="U46" s="45" t="str">
        <f>U36</f>
        <v>Equipe 30</v>
      </c>
      <c r="V46" s="45" t="str">
        <f>U38</f>
        <v>Equipe 32</v>
      </c>
      <c r="W46" s="67"/>
      <c r="X46" s="68"/>
    </row>
    <row r="47" spans="2:25" ht="5.0999999999999996" customHeight="1" thickBot="1" x14ac:dyDescent="0.3">
      <c r="B47" s="19"/>
      <c r="C47" s="2"/>
      <c r="D47" s="2"/>
      <c r="E47" s="489"/>
      <c r="F47" s="489"/>
      <c r="G47" s="2"/>
      <c r="H47" s="2"/>
      <c r="I47" s="2"/>
      <c r="J47" s="47"/>
      <c r="K47" s="489"/>
      <c r="L47" s="489"/>
      <c r="M47" s="85"/>
      <c r="N47" s="2"/>
      <c r="O47" s="2"/>
      <c r="P47" s="2"/>
      <c r="Q47" s="489"/>
      <c r="R47" s="489"/>
      <c r="S47" s="2"/>
      <c r="T47" s="2"/>
      <c r="U47" s="2"/>
      <c r="V47" s="2"/>
      <c r="W47" s="489"/>
      <c r="X47" s="490"/>
    </row>
    <row r="48" spans="2:25" ht="14.45" customHeight="1" x14ac:dyDescent="0.25">
      <c r="B48" s="24"/>
      <c r="C48" s="713" t="s">
        <v>7</v>
      </c>
      <c r="D48" s="713"/>
      <c r="E48" s="713" t="s">
        <v>16</v>
      </c>
      <c r="F48" s="714"/>
      <c r="G48" s="25"/>
      <c r="H48" s="26"/>
      <c r="I48" s="715" t="s">
        <v>7</v>
      </c>
      <c r="J48" s="715"/>
      <c r="K48" s="715" t="s">
        <v>16</v>
      </c>
      <c r="L48" s="716"/>
      <c r="M48" s="77"/>
      <c r="N48" s="27"/>
      <c r="O48" s="786" t="s">
        <v>7</v>
      </c>
      <c r="P48" s="786"/>
      <c r="Q48" s="786" t="s">
        <v>16</v>
      </c>
      <c r="R48" s="787"/>
      <c r="S48" s="25"/>
      <c r="T48" s="28"/>
      <c r="U48" s="784" t="s">
        <v>7</v>
      </c>
      <c r="V48" s="784"/>
      <c r="W48" s="784" t="s">
        <v>16</v>
      </c>
      <c r="X48" s="785"/>
    </row>
    <row r="49" spans="1:25" ht="14.45" customHeight="1" x14ac:dyDescent="0.25">
      <c r="B49" s="30">
        <f>H46+$K$6+S5</f>
        <v>0.47500000000000009</v>
      </c>
      <c r="C49" s="31" t="str">
        <f>C35</f>
        <v>Equipe 17</v>
      </c>
      <c r="D49" s="31" t="str">
        <f>C38</f>
        <v>Equipe 20</v>
      </c>
      <c r="E49" s="53"/>
      <c r="F49" s="54"/>
      <c r="G49" s="2"/>
      <c r="H49" s="32">
        <f>B50+$K$6+S5</f>
        <v>0.50000000000000011</v>
      </c>
      <c r="I49" s="33" t="str">
        <f>I35</f>
        <v>Equipe 21</v>
      </c>
      <c r="J49" s="33" t="str">
        <f>I38</f>
        <v>Equipe 24</v>
      </c>
      <c r="K49" s="57"/>
      <c r="L49" s="58"/>
      <c r="M49" s="76"/>
      <c r="N49" s="34">
        <f>T46+$K$6+S5</f>
        <v>0.47500000000000009</v>
      </c>
      <c r="O49" s="35" t="str">
        <f>O35</f>
        <v>Equipe 25</v>
      </c>
      <c r="P49" s="35" t="str">
        <f>O38</f>
        <v>Equipe 28</v>
      </c>
      <c r="Q49" s="61"/>
      <c r="R49" s="62"/>
      <c r="S49" s="2"/>
      <c r="T49" s="36">
        <f>N50+$K$6+S5</f>
        <v>0.50000000000000011</v>
      </c>
      <c r="U49" s="37" t="str">
        <f>U35</f>
        <v>Equipe 29</v>
      </c>
      <c r="V49" s="37" t="str">
        <f>U38</f>
        <v>Equipe 32</v>
      </c>
      <c r="W49" s="65"/>
      <c r="X49" s="66"/>
    </row>
    <row r="50" spans="1:25" ht="15.75" thickBot="1" x14ac:dyDescent="0.3">
      <c r="B50" s="38">
        <f>B49+$K$6+S5</f>
        <v>0.4875000000000001</v>
      </c>
      <c r="C50" s="39" t="str">
        <f>C36</f>
        <v>Equipe 18</v>
      </c>
      <c r="D50" s="39" t="str">
        <f>C37</f>
        <v>Equipe 19</v>
      </c>
      <c r="E50" s="55"/>
      <c r="F50" s="56"/>
      <c r="G50" s="47"/>
      <c r="H50" s="40">
        <f>H49+$K$6+S5</f>
        <v>0.51250000000000007</v>
      </c>
      <c r="I50" s="41" t="str">
        <f>I36</f>
        <v>Equipe 22</v>
      </c>
      <c r="J50" s="41" t="str">
        <f>I37</f>
        <v>Equipe 23</v>
      </c>
      <c r="K50" s="59"/>
      <c r="L50" s="60"/>
      <c r="M50" s="78"/>
      <c r="N50" s="42">
        <f>N49+$K$6+S5</f>
        <v>0.4875000000000001</v>
      </c>
      <c r="O50" s="43" t="str">
        <f>O36</f>
        <v>Equipe 26</v>
      </c>
      <c r="P50" s="43" t="str">
        <f>O37</f>
        <v>Equipe 27</v>
      </c>
      <c r="Q50" s="63"/>
      <c r="R50" s="64"/>
      <c r="S50" s="47"/>
      <c r="T50" s="44">
        <f>T49+$K$6+S5</f>
        <v>0.51250000000000007</v>
      </c>
      <c r="U50" s="45" t="str">
        <f>U36</f>
        <v>Equipe 30</v>
      </c>
      <c r="V50" s="45" t="str">
        <f>U37</f>
        <v>Equipe 31</v>
      </c>
      <c r="W50" s="67"/>
      <c r="X50" s="68"/>
    </row>
    <row r="51" spans="1:25" ht="14.45" customHeight="1" thickBot="1" x14ac:dyDescent="0.3">
      <c r="B51" s="118"/>
      <c r="C51" s="119"/>
      <c r="D51" s="119"/>
      <c r="E51" s="173"/>
      <c r="F51" s="173"/>
      <c r="G51" s="89"/>
      <c r="H51" s="120"/>
      <c r="I51" s="119"/>
      <c r="J51" s="119"/>
      <c r="K51" s="173"/>
      <c r="L51" s="173"/>
      <c r="M51" s="89"/>
      <c r="N51" s="120"/>
      <c r="O51" s="119"/>
      <c r="P51" s="119"/>
      <c r="Q51" s="173"/>
      <c r="R51" s="173"/>
      <c r="S51" s="89"/>
      <c r="T51" s="93"/>
      <c r="U51" s="492"/>
      <c r="V51" s="492"/>
      <c r="W51" s="116"/>
      <c r="X51" s="117"/>
    </row>
    <row r="52" spans="1:25" ht="14.45" customHeight="1" thickBot="1" x14ac:dyDescent="0.3">
      <c r="B52" s="783" t="s">
        <v>60</v>
      </c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2"/>
      <c r="U52" s="762"/>
      <c r="V52" s="762"/>
      <c r="W52" s="762"/>
      <c r="X52" s="763"/>
      <c r="Y52" s="172"/>
    </row>
    <row r="53" spans="1:25" ht="14.45" customHeight="1" x14ac:dyDescent="0.25">
      <c r="B53" s="81" t="s">
        <v>21</v>
      </c>
      <c r="C53" s="711" t="s">
        <v>91</v>
      </c>
      <c r="D53" s="711"/>
      <c r="E53" s="711" t="s">
        <v>15</v>
      </c>
      <c r="F53" s="712"/>
      <c r="G53" s="122"/>
      <c r="H53" s="81" t="s">
        <v>21</v>
      </c>
      <c r="I53" s="711" t="s">
        <v>92</v>
      </c>
      <c r="J53" s="711"/>
      <c r="K53" s="711" t="s">
        <v>15</v>
      </c>
      <c r="L53" s="712"/>
      <c r="M53" s="75"/>
      <c r="N53" s="81" t="s">
        <v>21</v>
      </c>
      <c r="O53" s="711" t="s">
        <v>264</v>
      </c>
      <c r="P53" s="711"/>
      <c r="Q53" s="711" t="s">
        <v>15</v>
      </c>
      <c r="R53" s="712"/>
      <c r="S53" s="122"/>
      <c r="T53" s="81" t="s">
        <v>21</v>
      </c>
      <c r="U53" s="711" t="s">
        <v>265</v>
      </c>
      <c r="V53" s="711"/>
      <c r="W53" s="711" t="s">
        <v>15</v>
      </c>
      <c r="X53" s="712"/>
      <c r="Y53" s="172"/>
    </row>
    <row r="54" spans="1:25" ht="14.45" customHeight="1" x14ac:dyDescent="0.25">
      <c r="B54" s="49">
        <v>1</v>
      </c>
      <c r="C54" s="680" t="str">
        <f>VLOOKUP($B54,$B$142:$E$145,2,FALSE)</f>
        <v>Equipe 17</v>
      </c>
      <c r="D54" s="680"/>
      <c r="E54" s="683">
        <f>VLOOKUP($B54,$B$142:$E$145,4,FALSE)</f>
        <v>3.9999999999999998E-7</v>
      </c>
      <c r="F54" s="684"/>
      <c r="G54" s="105"/>
      <c r="H54" s="49">
        <v>1</v>
      </c>
      <c r="I54" s="680" t="str">
        <f>VLOOKUP($H54,$H$142:$K$145,2,FALSE)</f>
        <v>Equipe 21</v>
      </c>
      <c r="J54" s="680"/>
      <c r="K54" s="681">
        <f>VLOOKUP($H54,$H$142:$K$145,4,FALSE)</f>
        <v>3.9999999999999998E-7</v>
      </c>
      <c r="L54" s="682"/>
      <c r="M54" s="76"/>
      <c r="N54" s="49">
        <v>1</v>
      </c>
      <c r="O54" s="824" t="str">
        <f>VLOOKUP($N54,$N$142:$Q$145,2,FALSE)</f>
        <v>Equipe 25</v>
      </c>
      <c r="P54" s="825"/>
      <c r="Q54" s="767">
        <f>VLOOKUP($N54,$N$142:$Q$145,4,FALSE)</f>
        <v>3.9999999999999998E-7</v>
      </c>
      <c r="R54" s="922"/>
      <c r="S54" s="105"/>
      <c r="T54" s="49">
        <v>1</v>
      </c>
      <c r="U54" s="680" t="str">
        <f>VLOOKUP($T54,$T$142:$W$145,2,FALSE)</f>
        <v>Equipe 29</v>
      </c>
      <c r="V54" s="680"/>
      <c r="W54" s="681">
        <f>VLOOKUP($T54,$T$142:$W$145,4,FALSE)</f>
        <v>3.9999999999999998E-7</v>
      </c>
      <c r="X54" s="682"/>
      <c r="Y54" s="172"/>
    </row>
    <row r="55" spans="1:25" ht="14.45" customHeight="1" x14ac:dyDescent="0.25">
      <c r="B55" s="49">
        <v>2</v>
      </c>
      <c r="C55" s="680" t="str">
        <f>VLOOKUP($B55,$B$142:$E$145,2,FALSE)</f>
        <v>Equipe 18</v>
      </c>
      <c r="D55" s="680"/>
      <c r="E55" s="683">
        <f>VLOOKUP($B55,$B$142:$E$145,4,FALSE)</f>
        <v>2.9999999999999999E-7</v>
      </c>
      <c r="F55" s="684"/>
      <c r="G55" s="105"/>
      <c r="H55" s="49">
        <v>2</v>
      </c>
      <c r="I55" s="680" t="str">
        <f>VLOOKUP($H55,$H$142:$K$145,2,FALSE)</f>
        <v>Equipe 22</v>
      </c>
      <c r="J55" s="680"/>
      <c r="K55" s="681">
        <f>VLOOKUP($H55,$H$142:$K$145,4,FALSE)</f>
        <v>2.9999999999999999E-7</v>
      </c>
      <c r="L55" s="682"/>
      <c r="M55" s="76"/>
      <c r="N55" s="49">
        <v>2</v>
      </c>
      <c r="O55" s="824" t="str">
        <f>VLOOKUP($N55,$N$142:$Q$145,2,FALSE)</f>
        <v>Equipe 26</v>
      </c>
      <c r="P55" s="825"/>
      <c r="Q55" s="767">
        <f>VLOOKUP($N55,$N$142:$Q$145,4,FALSE)</f>
        <v>2.9999999999999999E-7</v>
      </c>
      <c r="R55" s="922"/>
      <c r="S55" s="105"/>
      <c r="T55" s="49">
        <v>2</v>
      </c>
      <c r="U55" s="680" t="str">
        <f>VLOOKUP($T55,$T$142:$W$145,2,FALSE)</f>
        <v>Equipe 30</v>
      </c>
      <c r="V55" s="680"/>
      <c r="W55" s="681">
        <f>VLOOKUP($T55,$T$142:$W$145,4,FALSE)</f>
        <v>2.9999999999999999E-7</v>
      </c>
      <c r="X55" s="682"/>
      <c r="Y55" s="172"/>
    </row>
    <row r="56" spans="1:25" ht="15" customHeight="1" x14ac:dyDescent="0.25">
      <c r="B56" s="49">
        <v>3</v>
      </c>
      <c r="C56" s="680" t="str">
        <f>VLOOKUP($B56,$B$142:$E$145,2,FALSE)</f>
        <v>Equipe 19</v>
      </c>
      <c r="D56" s="680"/>
      <c r="E56" s="683">
        <f>VLOOKUP($B56,$B$142:$E$145,4,FALSE)</f>
        <v>1.9999999999999999E-7</v>
      </c>
      <c r="F56" s="684"/>
      <c r="G56" s="105"/>
      <c r="H56" s="49">
        <v>3</v>
      </c>
      <c r="I56" s="680" t="str">
        <f>VLOOKUP($H56,$H$142:$K$145,2,FALSE)</f>
        <v>Equipe 23</v>
      </c>
      <c r="J56" s="680"/>
      <c r="K56" s="681">
        <f>VLOOKUP($H56,$H$142:$K$145,4,FALSE)</f>
        <v>1.9999999999999999E-7</v>
      </c>
      <c r="L56" s="682"/>
      <c r="M56" s="76"/>
      <c r="N56" s="49">
        <v>3</v>
      </c>
      <c r="O56" s="824" t="str">
        <f>VLOOKUP($N56,$N$142:$Q$145,2,FALSE)</f>
        <v>Equipe 27</v>
      </c>
      <c r="P56" s="825"/>
      <c r="Q56" s="767">
        <f>VLOOKUP($N56,$N$142:$Q$145,4,FALSE)</f>
        <v>1.9999999999999999E-7</v>
      </c>
      <c r="R56" s="922"/>
      <c r="S56" s="105"/>
      <c r="T56" s="49">
        <v>3</v>
      </c>
      <c r="U56" s="680" t="str">
        <f>VLOOKUP($T56,$T$142:$W$145,2,FALSE)</f>
        <v>Equipe 31</v>
      </c>
      <c r="V56" s="680"/>
      <c r="W56" s="681">
        <f>VLOOKUP($T56,$T$142:$W$145,4,FALSE)</f>
        <v>1.9999999999999999E-7</v>
      </c>
      <c r="X56" s="682"/>
    </row>
    <row r="57" spans="1:25" s="2" customFormat="1" ht="15.75" thickBot="1" x14ac:dyDescent="0.3">
      <c r="B57" s="50">
        <v>4</v>
      </c>
      <c r="C57" s="680" t="str">
        <f>VLOOKUP($B57,$B$142:$E$145,2,FALSE)</f>
        <v>Equipe 20</v>
      </c>
      <c r="D57" s="680"/>
      <c r="E57" s="683">
        <f>VLOOKUP($B57,$B$142:$E$145,4,FALSE)</f>
        <v>9.9999999999999995E-8</v>
      </c>
      <c r="F57" s="684"/>
      <c r="G57" s="123"/>
      <c r="H57" s="50">
        <v>4</v>
      </c>
      <c r="I57" s="680" t="str">
        <f>VLOOKUP($H57,$H$142:$K$145,2,FALSE)</f>
        <v>Equipe 24</v>
      </c>
      <c r="J57" s="680"/>
      <c r="K57" s="681">
        <f>VLOOKUP($H57,$H$142:$K$145,4,FALSE)</f>
        <v>9.9999999999999995E-8</v>
      </c>
      <c r="L57" s="682"/>
      <c r="M57" s="78"/>
      <c r="N57" s="50">
        <v>4</v>
      </c>
      <c r="O57" s="824" t="str">
        <f>VLOOKUP($N57,$N$142:$Q$145,2,FALSE)</f>
        <v>Equipe 28</v>
      </c>
      <c r="P57" s="825"/>
      <c r="Q57" s="767">
        <f>VLOOKUP($N57,$N$142:$Q$145,4,FALSE)</f>
        <v>9.9999999999999995E-8</v>
      </c>
      <c r="R57" s="922"/>
      <c r="S57" s="123"/>
      <c r="T57" s="50">
        <v>4</v>
      </c>
      <c r="U57" s="680" t="str">
        <f>VLOOKUP($T57,$T$142:$W$145,2,FALSE)</f>
        <v>Equipe 32</v>
      </c>
      <c r="V57" s="680"/>
      <c r="W57" s="681">
        <f>VLOOKUP($T57,$T$142:$W$145,4,FALSE)</f>
        <v>9.9999999999999995E-8</v>
      </c>
      <c r="X57" s="682"/>
    </row>
    <row r="58" spans="1:25" s="2" customFormat="1" ht="15.75" thickBot="1" x14ac:dyDescent="0.3">
      <c r="B58" s="703" t="s">
        <v>34</v>
      </c>
      <c r="C58" s="704"/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4"/>
      <c r="V58" s="704"/>
      <c r="W58" s="704"/>
      <c r="X58" s="705"/>
    </row>
    <row r="59" spans="1:25" ht="15.75" thickBot="1" x14ac:dyDescent="0.3">
      <c r="B59" s="1087" t="s">
        <v>320</v>
      </c>
      <c r="C59" s="1088"/>
      <c r="D59" s="1088"/>
      <c r="E59" s="1088"/>
      <c r="F59" s="1088"/>
      <c r="G59" s="1088"/>
      <c r="H59" s="1088"/>
      <c r="I59" s="1088"/>
      <c r="J59" s="1088"/>
      <c r="K59" s="1088"/>
      <c r="L59" s="1088"/>
      <c r="M59" s="1088"/>
      <c r="N59" s="1088"/>
      <c r="O59" s="1088"/>
      <c r="P59" s="1088"/>
      <c r="Q59" s="1088"/>
      <c r="R59" s="1088"/>
      <c r="S59" s="1088"/>
      <c r="T59" s="1088"/>
      <c r="U59" s="1088"/>
      <c r="V59" s="1088"/>
      <c r="W59" s="1088"/>
      <c r="X59" s="1089"/>
    </row>
    <row r="60" spans="1:25" ht="14.45" customHeight="1" thickBot="1" x14ac:dyDescent="0.3">
      <c r="B60" s="1093" t="s">
        <v>275</v>
      </c>
      <c r="C60" s="1094"/>
      <c r="D60" s="1094"/>
      <c r="E60" s="1094"/>
      <c r="F60" s="1094"/>
      <c r="G60" s="1094"/>
      <c r="H60" s="1094"/>
      <c r="I60" s="1094"/>
      <c r="J60" s="1094"/>
      <c r="K60" s="1094"/>
      <c r="L60" s="1094"/>
      <c r="M60" s="1094"/>
      <c r="N60" s="1094"/>
      <c r="O60" s="1094"/>
      <c r="P60" s="1094"/>
      <c r="Q60" s="1094"/>
      <c r="R60" s="1094"/>
      <c r="S60" s="1094"/>
      <c r="T60" s="1094"/>
      <c r="U60" s="1094"/>
      <c r="V60" s="1094"/>
      <c r="W60" s="1094"/>
      <c r="X60" s="1095"/>
    </row>
    <row r="61" spans="1:25" ht="27" customHeight="1" thickBot="1" x14ac:dyDescent="0.3">
      <c r="B61" s="1106" t="s">
        <v>76</v>
      </c>
      <c r="C61" s="1107"/>
      <c r="D61" s="1107"/>
      <c r="E61" s="1107"/>
      <c r="F61" s="1107"/>
      <c r="G61" s="1107"/>
      <c r="H61" s="1107"/>
      <c r="I61" s="1107"/>
      <c r="J61" s="511" t="s">
        <v>18</v>
      </c>
      <c r="K61" s="782">
        <v>9.0277777777777787E-3</v>
      </c>
      <c r="L61" s="782"/>
      <c r="M61" s="782"/>
      <c r="N61" s="512" t="s">
        <v>17</v>
      </c>
      <c r="O61" s="488"/>
      <c r="P61" s="686"/>
      <c r="Q61" s="686"/>
      <c r="R61" s="686"/>
      <c r="S61" s="686"/>
      <c r="T61" s="686"/>
      <c r="U61" s="686"/>
      <c r="V61" s="686"/>
      <c r="W61" s="686"/>
      <c r="X61" s="781"/>
    </row>
    <row r="62" spans="1:25" ht="14.45" customHeight="1" thickBot="1" x14ac:dyDescent="0.3">
      <c r="B62" s="780" t="s">
        <v>287</v>
      </c>
      <c r="C62" s="686"/>
      <c r="D62" s="686"/>
      <c r="E62" s="686"/>
      <c r="F62" s="686"/>
      <c r="G62" s="686"/>
      <c r="H62" s="686"/>
      <c r="I62" s="686"/>
      <c r="J62" s="686"/>
      <c r="K62" s="686"/>
      <c r="L62" s="781"/>
      <c r="N62" s="780" t="s">
        <v>288</v>
      </c>
      <c r="O62" s="686"/>
      <c r="P62" s="686"/>
      <c r="Q62" s="686"/>
      <c r="R62" s="686"/>
      <c r="S62" s="686"/>
      <c r="T62" s="686"/>
      <c r="U62" s="686"/>
      <c r="V62" s="686"/>
      <c r="W62" s="686"/>
      <c r="X62" s="781"/>
    </row>
    <row r="63" spans="1:25" ht="14.45" customHeight="1" thickBot="1" x14ac:dyDescent="0.3">
      <c r="A63" s="1104" t="s">
        <v>276</v>
      </c>
      <c r="B63" s="780" t="s">
        <v>251</v>
      </c>
      <c r="C63" s="686"/>
      <c r="D63" s="686"/>
      <c r="E63" s="686"/>
      <c r="F63" s="686"/>
      <c r="G63" s="1104" t="s">
        <v>276</v>
      </c>
      <c r="H63" s="1053" t="s">
        <v>250</v>
      </c>
      <c r="I63" s="1053"/>
      <c r="J63" s="1053"/>
      <c r="K63" s="1053"/>
      <c r="L63" s="1065"/>
      <c r="M63" s="1104" t="s">
        <v>276</v>
      </c>
      <c r="N63" s="780" t="s">
        <v>88</v>
      </c>
      <c r="O63" s="686"/>
      <c r="P63" s="686"/>
      <c r="Q63" s="686"/>
      <c r="R63" s="686"/>
      <c r="S63" s="1104" t="s">
        <v>276</v>
      </c>
      <c r="T63" s="1053" t="s">
        <v>87</v>
      </c>
      <c r="U63" s="1053"/>
      <c r="V63" s="1053"/>
      <c r="W63" s="1053"/>
      <c r="X63" s="1065"/>
    </row>
    <row r="64" spans="1:25" ht="14.45" customHeight="1" x14ac:dyDescent="0.25">
      <c r="A64" s="1105"/>
      <c r="B64" s="24"/>
      <c r="C64" s="713" t="s">
        <v>274</v>
      </c>
      <c r="D64" s="713"/>
      <c r="E64" s="713" t="s">
        <v>16</v>
      </c>
      <c r="F64" s="714"/>
      <c r="G64" s="1105"/>
      <c r="H64" s="26"/>
      <c r="I64" s="715" t="s">
        <v>274</v>
      </c>
      <c r="J64" s="715"/>
      <c r="K64" s="715" t="s">
        <v>16</v>
      </c>
      <c r="L64" s="716"/>
      <c r="M64" s="1105"/>
      <c r="N64" s="27"/>
      <c r="O64" s="786" t="s">
        <v>274</v>
      </c>
      <c r="P64" s="786"/>
      <c r="Q64" s="786" t="s">
        <v>16</v>
      </c>
      <c r="R64" s="787"/>
      <c r="S64" s="1105"/>
      <c r="T64" s="28"/>
      <c r="U64" s="784" t="s">
        <v>274</v>
      </c>
      <c r="V64" s="784"/>
      <c r="W64" s="784" t="s">
        <v>16</v>
      </c>
      <c r="X64" s="785"/>
    </row>
    <row r="65" spans="1:24" ht="14.45" customHeight="1" x14ac:dyDescent="0.25">
      <c r="A65" s="545">
        <v>1</v>
      </c>
      <c r="B65" s="30">
        <f>H50+$K$6+M5</f>
        <v>0.54166666666666674</v>
      </c>
      <c r="C65" s="31" t="str">
        <f>IF($E$15="","3eme A",C30)</f>
        <v>3eme A</v>
      </c>
      <c r="D65" s="31" t="str">
        <f>IF($E$15="","4eme B",I31)</f>
        <v>4eme B</v>
      </c>
      <c r="E65" s="53"/>
      <c r="F65" s="54"/>
      <c r="G65" s="544">
        <v>3</v>
      </c>
      <c r="H65" s="32">
        <f>B65</f>
        <v>0.54166666666666674</v>
      </c>
      <c r="I65" s="33" t="str">
        <f>IF($E$15="","3eme C",O30)</f>
        <v>3eme C</v>
      </c>
      <c r="J65" s="33" t="str">
        <f>IF($E$15="","4eme D",U31)</f>
        <v>4eme D</v>
      </c>
      <c r="K65" s="57"/>
      <c r="L65" s="58"/>
      <c r="M65" s="543">
        <v>1</v>
      </c>
      <c r="N65" s="34">
        <f>B65</f>
        <v>0.54166666666666674</v>
      </c>
      <c r="O65" s="35" t="str">
        <f>IF($E$15="","1er A",C28)</f>
        <v>1er A</v>
      </c>
      <c r="P65" s="35" t="str">
        <f>IF($E$15="","2eme B",I29)</f>
        <v>2eme B</v>
      </c>
      <c r="Q65" s="61"/>
      <c r="R65" s="62"/>
      <c r="S65" s="546">
        <v>3</v>
      </c>
      <c r="T65" s="36">
        <f>N65</f>
        <v>0.54166666666666674</v>
      </c>
      <c r="U65" s="37" t="str">
        <f>IF($E$15="","1er C",O28)</f>
        <v>1er C</v>
      </c>
      <c r="V65" s="37" t="str">
        <f>IF($E$15="","2eme D",U29)</f>
        <v>2eme D</v>
      </c>
      <c r="W65" s="65"/>
      <c r="X65" s="66"/>
    </row>
    <row r="66" spans="1:24" ht="15.75" thickBot="1" x14ac:dyDescent="0.3">
      <c r="A66" s="505">
        <v>2</v>
      </c>
      <c r="B66" s="38">
        <f>B65+$K$61+S5</f>
        <v>0.5541666666666667</v>
      </c>
      <c r="C66" s="39" t="str">
        <f>IF($E$15="","3eme B",I30)</f>
        <v>3eme B</v>
      </c>
      <c r="D66" s="39" t="str">
        <f>IF($E$15="","4eme A",C31)</f>
        <v>4eme A</v>
      </c>
      <c r="E66" s="55"/>
      <c r="F66" s="56"/>
      <c r="G66" s="498">
        <v>4</v>
      </c>
      <c r="H66" s="40">
        <f>H65+$K$61+S5</f>
        <v>0.5541666666666667</v>
      </c>
      <c r="I66" s="41" t="str">
        <f>IF($E$15="","3eme D",U30)</f>
        <v>3eme D</v>
      </c>
      <c r="J66" s="41" t="str">
        <f>IF($E$15="","4eme C",O31)</f>
        <v>4eme C</v>
      </c>
      <c r="K66" s="59"/>
      <c r="L66" s="60"/>
      <c r="M66" s="541">
        <v>2</v>
      </c>
      <c r="N66" s="42">
        <f>N65+$K$61+S5</f>
        <v>0.5541666666666667</v>
      </c>
      <c r="O66" s="43" t="str">
        <f>IF($E$15="","1er B",I28)</f>
        <v>1er B</v>
      </c>
      <c r="P66" s="43" t="str">
        <f>IF($E$15="","2eme A",C29)</f>
        <v>2eme A</v>
      </c>
      <c r="Q66" s="63"/>
      <c r="R66" s="64"/>
      <c r="S66" s="547">
        <v>4</v>
      </c>
      <c r="T66" s="44">
        <f>T65+$K$61+S5</f>
        <v>0.5541666666666667</v>
      </c>
      <c r="U66" s="45" t="str">
        <f>IF($E$15="","1er D",U28)</f>
        <v>1er D</v>
      </c>
      <c r="V66" s="45" t="str">
        <f>IF($E$15="","2eme C",O29)</f>
        <v>2eme C</v>
      </c>
      <c r="W66" s="67"/>
      <c r="X66" s="68"/>
    </row>
    <row r="67" spans="1:24" ht="5.0999999999999996" customHeight="1" thickBot="1" x14ac:dyDescent="0.3">
      <c r="A67" s="1036"/>
      <c r="B67" s="1036"/>
      <c r="C67" s="1036"/>
      <c r="D67" s="1036"/>
      <c r="E67" s="1036"/>
      <c r="F67" s="1036"/>
      <c r="G67" s="1036"/>
      <c r="H67" s="1036"/>
      <c r="I67" s="1036"/>
      <c r="J67" s="1036"/>
      <c r="K67" s="1036"/>
      <c r="L67" s="1037"/>
      <c r="M67" s="1035"/>
      <c r="N67" s="1036"/>
      <c r="O67" s="1036"/>
      <c r="P67" s="1036"/>
      <c r="Q67" s="1036"/>
      <c r="R67" s="1036"/>
      <c r="S67" s="1036"/>
      <c r="T67" s="1036"/>
      <c r="U67" s="1036"/>
      <c r="V67" s="1036"/>
      <c r="W67" s="1036"/>
      <c r="X67" s="1037"/>
    </row>
    <row r="68" spans="1:24" x14ac:dyDescent="0.25">
      <c r="A68" s="506"/>
      <c r="B68" s="24"/>
      <c r="C68" s="713" t="s">
        <v>274</v>
      </c>
      <c r="D68" s="713"/>
      <c r="E68" s="713" t="s">
        <v>16</v>
      </c>
      <c r="F68" s="714"/>
      <c r="G68" s="499"/>
      <c r="H68" s="500"/>
      <c r="I68" s="715" t="s">
        <v>274</v>
      </c>
      <c r="J68" s="715"/>
      <c r="K68" s="715" t="s">
        <v>16</v>
      </c>
      <c r="L68" s="716"/>
      <c r="M68" s="542"/>
      <c r="N68" s="27"/>
      <c r="O68" s="1042" t="s">
        <v>274</v>
      </c>
      <c r="P68" s="1111"/>
      <c r="Q68" s="1042" t="s">
        <v>16</v>
      </c>
      <c r="R68" s="1112"/>
      <c r="S68" s="548"/>
      <c r="T68" s="549"/>
      <c r="U68" s="1108" t="s">
        <v>274</v>
      </c>
      <c r="V68" s="1109"/>
      <c r="W68" s="1108" t="s">
        <v>16</v>
      </c>
      <c r="X68" s="1110"/>
    </row>
    <row r="69" spans="1:24" x14ac:dyDescent="0.25">
      <c r="A69" s="545">
        <v>5</v>
      </c>
      <c r="B69" s="30">
        <f>H66+K61+S5</f>
        <v>0.56666666666666665</v>
      </c>
      <c r="C69" s="31" t="str">
        <f>IF($E$15="","3eme E",C56)</f>
        <v>3eme E</v>
      </c>
      <c r="D69" s="31" t="str">
        <f>IF($E$15="","4eme F",I57)</f>
        <v>4eme F</v>
      </c>
      <c r="E69" s="53"/>
      <c r="F69" s="54"/>
      <c r="G69" s="544">
        <v>7</v>
      </c>
      <c r="H69" s="501">
        <f>B69</f>
        <v>0.56666666666666665</v>
      </c>
      <c r="I69" s="33" t="str">
        <f>IF($E$15="","3eme G",O56)</f>
        <v>3eme G</v>
      </c>
      <c r="J69" s="33" t="str">
        <f>IF($E$15="","4eme H",U57)</f>
        <v>4eme H</v>
      </c>
      <c r="K69" s="57"/>
      <c r="L69" s="58"/>
      <c r="M69" s="543">
        <v>5</v>
      </c>
      <c r="N69" s="34">
        <f>B69</f>
        <v>0.56666666666666665</v>
      </c>
      <c r="O69" s="35" t="str">
        <f>IF($E$15="","1er E",C54)</f>
        <v>1er E</v>
      </c>
      <c r="P69" s="35" t="str">
        <f>IF($E$15="","2eme F",I55)</f>
        <v>2eme F</v>
      </c>
      <c r="Q69" s="61"/>
      <c r="R69" s="62"/>
      <c r="S69" s="546">
        <v>7</v>
      </c>
      <c r="T69" s="550">
        <f>N69</f>
        <v>0.56666666666666665</v>
      </c>
      <c r="U69" s="37" t="str">
        <f>IF($E$15="","1er G",O54)</f>
        <v>1er G</v>
      </c>
      <c r="V69" s="37" t="str">
        <f>IF($E$15="","2eme H",U55)</f>
        <v>2eme H</v>
      </c>
      <c r="W69" s="65"/>
      <c r="X69" s="66"/>
    </row>
    <row r="70" spans="1:24" ht="15.75" thickBot="1" x14ac:dyDescent="0.3">
      <c r="A70" s="505">
        <v>6</v>
      </c>
      <c r="B70" s="38">
        <f>B69+$K$61+S5</f>
        <v>0.57916666666666661</v>
      </c>
      <c r="C70" s="39" t="str">
        <f>IF($E$15="","3eme F",I56)</f>
        <v>3eme F</v>
      </c>
      <c r="D70" s="39" t="str">
        <f>IF($E$15="","4eme E",C57)</f>
        <v>4eme E</v>
      </c>
      <c r="E70" s="55"/>
      <c r="F70" s="56"/>
      <c r="G70" s="498">
        <v>8</v>
      </c>
      <c r="H70" s="502">
        <f>H69+$K$61+S5</f>
        <v>0.57916666666666661</v>
      </c>
      <c r="I70" s="41" t="str">
        <f>IF($E$15="","3eme H",U56)</f>
        <v>3eme H</v>
      </c>
      <c r="J70" s="41" t="str">
        <f>IF($E$15="","4eme G",O57)</f>
        <v>4eme G</v>
      </c>
      <c r="K70" s="59"/>
      <c r="L70" s="60"/>
      <c r="M70" s="541">
        <v>6</v>
      </c>
      <c r="N70" s="42">
        <f>N69+$K$61+S5</f>
        <v>0.57916666666666661</v>
      </c>
      <c r="O70" s="43" t="str">
        <f>IF($E$15="","1er F",I54)</f>
        <v>1er F</v>
      </c>
      <c r="P70" s="43" t="str">
        <f>IF($E$15="","2eme E",C55)</f>
        <v>2eme E</v>
      </c>
      <c r="Q70" s="63"/>
      <c r="R70" s="64"/>
      <c r="S70" s="547">
        <v>8</v>
      </c>
      <c r="T70" s="551">
        <f>T69+$K$61+S5</f>
        <v>0.57916666666666661</v>
      </c>
      <c r="U70" s="45" t="str">
        <f>IF($E$15="","1er H",U54)</f>
        <v>1er H</v>
      </c>
      <c r="V70" s="45" t="str">
        <f>IF($E$15="","2eme G",O55)</f>
        <v>2eme G</v>
      </c>
      <c r="W70" s="67"/>
      <c r="X70" s="68"/>
    </row>
    <row r="71" spans="1:24" ht="15.75" customHeight="1" thickBot="1" x14ac:dyDescent="0.3">
      <c r="A71" s="1036"/>
      <c r="B71" s="1036"/>
      <c r="C71" s="1036"/>
      <c r="D71" s="1036"/>
      <c r="E71" s="1036"/>
      <c r="F71" s="1036"/>
      <c r="G71" s="1036"/>
      <c r="H71" s="1036"/>
      <c r="I71" s="1036"/>
      <c r="J71" s="1036"/>
      <c r="K71" s="1036"/>
      <c r="L71" s="1037"/>
      <c r="M71" s="1035"/>
      <c r="N71" s="1036"/>
      <c r="O71" s="1036"/>
      <c r="P71" s="1036"/>
      <c r="Q71" s="1036"/>
      <c r="R71" s="1036"/>
      <c r="S71" s="1036"/>
      <c r="T71" s="1036"/>
      <c r="U71" s="1036"/>
      <c r="V71" s="1036"/>
      <c r="W71" s="1036"/>
      <c r="X71" s="1037"/>
    </row>
    <row r="72" spans="1:24" x14ac:dyDescent="0.25">
      <c r="A72" s="507"/>
      <c r="B72" s="453"/>
      <c r="C72" s="713" t="s">
        <v>277</v>
      </c>
      <c r="D72" s="713"/>
      <c r="E72" s="713" t="s">
        <v>16</v>
      </c>
      <c r="F72" s="714"/>
      <c r="G72" s="503"/>
      <c r="H72" s="455"/>
      <c r="I72" s="715" t="s">
        <v>277</v>
      </c>
      <c r="J72" s="715"/>
      <c r="K72" s="715" t="s">
        <v>16</v>
      </c>
      <c r="L72" s="716"/>
      <c r="M72" s="538"/>
      <c r="N72" s="535"/>
      <c r="O72" s="1042" t="s">
        <v>277</v>
      </c>
      <c r="P72" s="1111"/>
      <c r="Q72" s="1042" t="s">
        <v>16</v>
      </c>
      <c r="R72" s="1112"/>
      <c r="S72" s="552"/>
      <c r="T72" s="553"/>
      <c r="U72" s="1108" t="s">
        <v>277</v>
      </c>
      <c r="V72" s="1109"/>
      <c r="W72" s="1108" t="s">
        <v>16</v>
      </c>
      <c r="X72" s="1110"/>
    </row>
    <row r="73" spans="1:24" x14ac:dyDescent="0.25">
      <c r="A73" s="457">
        <v>9</v>
      </c>
      <c r="B73" s="458">
        <f>B70+K61+S5</f>
        <v>0.59166666666666656</v>
      </c>
      <c r="C73" s="31" t="str">
        <f>IF(E65&lt;F65,C65,IF(E65=F65,"Perdant 1",D65))</f>
        <v>Perdant 1</v>
      </c>
      <c r="D73" s="31" t="str">
        <f>IF(K65&lt;L65,I65,IF(K65=F66,"Perdant 3",J65))</f>
        <v>Perdant 3</v>
      </c>
      <c r="E73" s="53"/>
      <c r="F73" s="54"/>
      <c r="G73" s="459">
        <v>11</v>
      </c>
      <c r="H73" s="460">
        <f>B73</f>
        <v>0.59166666666666656</v>
      </c>
      <c r="I73" s="33" t="str">
        <f>IF(E66&lt;F66,C66,IF(E66=F66,"Perdant 2",D66))</f>
        <v>Perdant 2</v>
      </c>
      <c r="J73" s="33" t="str">
        <f>IF(K66&lt;L66,I66,IF(K66=L66,"Perdant 4",J66))</f>
        <v>Perdant 4</v>
      </c>
      <c r="K73" s="57"/>
      <c r="L73" s="58"/>
      <c r="M73" s="462">
        <v>9</v>
      </c>
      <c r="N73" s="536">
        <f>B73</f>
        <v>0.59166666666666656</v>
      </c>
      <c r="O73" s="35" t="str">
        <f>IF(Q65&lt;R65,O65,IF(Q65=R65,"Perdant 1",P65))</f>
        <v>Perdant 1</v>
      </c>
      <c r="P73" s="35" t="str">
        <f>IF(W65&lt;X65,U65,IF(W65=R66,"Perdant 3",V65))</f>
        <v>Perdant 3</v>
      </c>
      <c r="Q73" s="61"/>
      <c r="R73" s="62"/>
      <c r="S73" s="554">
        <v>11</v>
      </c>
      <c r="T73" s="555">
        <f>N73</f>
        <v>0.59166666666666656</v>
      </c>
      <c r="U73" s="37" t="str">
        <f>IF(Q66&lt;R66,O66,IF(Q66=R66,"Perdant 2",P66))</f>
        <v>Perdant 2</v>
      </c>
      <c r="V73" s="37" t="str">
        <f>IF(W66&lt;X66,U66,IF(W66=X66,"Perdant 4",V66))</f>
        <v>Perdant 4</v>
      </c>
      <c r="W73" s="65"/>
      <c r="X73" s="66"/>
    </row>
    <row r="74" spans="1:24" ht="15.75" thickBot="1" x14ac:dyDescent="0.3">
      <c r="A74" s="463">
        <v>10</v>
      </c>
      <c r="B74" s="464">
        <f>H73+$K$61+S5</f>
        <v>0.60416666666666652</v>
      </c>
      <c r="C74" s="39" t="str">
        <f>IF(E69&lt;F69,C69,IF(E69=F69,"Perdant 5",D69))</f>
        <v>Perdant 5</v>
      </c>
      <c r="D74" s="39" t="str">
        <f>IF(K69&lt;L69,I69,IF(K69=L69,"Perdant 7",J69))</f>
        <v>Perdant 7</v>
      </c>
      <c r="E74" s="55"/>
      <c r="F74" s="56"/>
      <c r="G74" s="504">
        <v>12</v>
      </c>
      <c r="H74" s="466">
        <f>B74</f>
        <v>0.60416666666666652</v>
      </c>
      <c r="I74" s="41" t="str">
        <f>IF(E70&lt;F70,C70,IF(E70=F70,"Perdant 6",D70))</f>
        <v>Perdant 6</v>
      </c>
      <c r="J74" s="41" t="str">
        <f>IF(K70&lt;L70,I70,IF(K70=L70,"Perdant 8",J70))</f>
        <v>Perdant 8</v>
      </c>
      <c r="K74" s="59"/>
      <c r="L74" s="60"/>
      <c r="M74" s="539">
        <v>10</v>
      </c>
      <c r="N74" s="537">
        <f>T73+$K$61+S5</f>
        <v>0.60416666666666652</v>
      </c>
      <c r="O74" s="43" t="str">
        <f>IF(Q69&lt;R69,O69,IF(Q69=R69,"Perdant 5",P69))</f>
        <v>Perdant 5</v>
      </c>
      <c r="P74" s="43" t="str">
        <f>IF(W69&lt;X69,U69,IF(W69=X69,"Perdant 7",V69))</f>
        <v>Perdant 7</v>
      </c>
      <c r="Q74" s="63"/>
      <c r="R74" s="64"/>
      <c r="S74" s="556">
        <v>12</v>
      </c>
      <c r="T74" s="557">
        <f>N74</f>
        <v>0.60416666666666652</v>
      </c>
      <c r="U74" s="45" t="str">
        <f>IF(Q70&lt;R70,O70,IF(Q70=R70,"Perdant 6",P70))</f>
        <v>Perdant 6</v>
      </c>
      <c r="V74" s="45" t="str">
        <f>IF(W70&lt;X70,U70,IF(W70=X70,"Perdant 8",V70))</f>
        <v>Perdant 8</v>
      </c>
      <c r="W74" s="67"/>
      <c r="X74" s="68"/>
    </row>
    <row r="75" spans="1:24" ht="5.0999999999999996" customHeight="1" thickBot="1" x14ac:dyDescent="0.3">
      <c r="A75" s="694"/>
      <c r="B75" s="694"/>
      <c r="C75" s="694"/>
      <c r="D75" s="694"/>
      <c r="E75" s="694"/>
      <c r="F75" s="694"/>
      <c r="G75" s="694"/>
      <c r="H75" s="694"/>
      <c r="I75" s="694"/>
      <c r="J75" s="694"/>
      <c r="K75" s="694"/>
      <c r="L75" s="695"/>
      <c r="M75" s="1035"/>
      <c r="N75" s="1036"/>
      <c r="O75" s="1036"/>
      <c r="P75" s="1036"/>
      <c r="Q75" s="1036"/>
      <c r="R75" s="1036"/>
      <c r="S75" s="1036"/>
      <c r="T75" s="1036"/>
      <c r="U75" s="1036"/>
      <c r="V75" s="1036"/>
      <c r="W75" s="1036"/>
      <c r="X75" s="1037"/>
    </row>
    <row r="76" spans="1:24" x14ac:dyDescent="0.25">
      <c r="A76" s="507"/>
      <c r="B76" s="453"/>
      <c r="C76" s="713" t="s">
        <v>69</v>
      </c>
      <c r="D76" s="713"/>
      <c r="E76" s="713" t="s">
        <v>16</v>
      </c>
      <c r="F76" s="714"/>
      <c r="G76" s="503"/>
      <c r="H76" s="455"/>
      <c r="I76" s="715" t="s">
        <v>69</v>
      </c>
      <c r="J76" s="715"/>
      <c r="K76" s="715" t="s">
        <v>16</v>
      </c>
      <c r="L76" s="716"/>
      <c r="M76" s="538"/>
      <c r="N76" s="535"/>
      <c r="O76" s="1042" t="s">
        <v>69</v>
      </c>
      <c r="P76" s="1111"/>
      <c r="Q76" s="1042" t="s">
        <v>16</v>
      </c>
      <c r="R76" s="1112"/>
      <c r="S76" s="552"/>
      <c r="T76" s="553"/>
      <c r="U76" s="1108" t="s">
        <v>69</v>
      </c>
      <c r="V76" s="1109"/>
      <c r="W76" s="1108" t="s">
        <v>16</v>
      </c>
      <c r="X76" s="1110"/>
    </row>
    <row r="77" spans="1:24" x14ac:dyDescent="0.25">
      <c r="A77" s="457">
        <v>13</v>
      </c>
      <c r="B77" s="458">
        <f>B74+K61+S5</f>
        <v>0.61666666666666647</v>
      </c>
      <c r="C77" s="31" t="str">
        <f>IF(E65&lt;F65,D65,IF(E65=F65,"Gagnant 1",C65))</f>
        <v>Gagnant 1</v>
      </c>
      <c r="D77" s="31" t="str">
        <f>IF(K65&lt;L65,J65,IF(K65=L65,"Gagnant 3",I65))</f>
        <v>Gagnant 3</v>
      </c>
      <c r="E77" s="53"/>
      <c r="F77" s="54"/>
      <c r="G77" s="459">
        <v>15</v>
      </c>
      <c r="H77" s="460">
        <f>B77</f>
        <v>0.61666666666666647</v>
      </c>
      <c r="I77" s="33" t="str">
        <f>IF(E66&lt;F66,D66,IF(E66=F66,"Gagnant 2",C66))</f>
        <v>Gagnant 2</v>
      </c>
      <c r="J77" s="33" t="str">
        <f>IF(K66&lt;L66,J66,IF(K66=L66,"Gagnant 4",I66))</f>
        <v>Gagnant 4</v>
      </c>
      <c r="K77" s="57"/>
      <c r="L77" s="58"/>
      <c r="M77" s="462">
        <v>13</v>
      </c>
      <c r="N77" s="536">
        <f>B77</f>
        <v>0.61666666666666647</v>
      </c>
      <c r="O77" s="35" t="str">
        <f>IF(Q65&lt;R65,P65,IF(Q65=R65,"Gagnant 1",O65))</f>
        <v>Gagnant 1</v>
      </c>
      <c r="P77" s="35" t="str">
        <f>IF(W65&lt;X65,V65,IF(W65=X65,"Gagnant 3",U65))</f>
        <v>Gagnant 3</v>
      </c>
      <c r="Q77" s="61"/>
      <c r="R77" s="62"/>
      <c r="S77" s="554">
        <v>15</v>
      </c>
      <c r="T77" s="555">
        <f>N77</f>
        <v>0.61666666666666647</v>
      </c>
      <c r="U77" s="37" t="str">
        <f>IF(Q66&lt;R66,P66,IF(Q66=R66,"Gagnant 2",O66))</f>
        <v>Gagnant 2</v>
      </c>
      <c r="V77" s="37" t="str">
        <f>IF(W66&lt;X66,V66,IF(W66=X66,"Gagnant 4",U66))</f>
        <v>Gagnant 4</v>
      </c>
      <c r="W77" s="65"/>
      <c r="X77" s="66"/>
    </row>
    <row r="78" spans="1:24" ht="15.75" thickBot="1" x14ac:dyDescent="0.3">
      <c r="A78" s="463">
        <v>14</v>
      </c>
      <c r="B78" s="464">
        <f>B77+$K$61+S5</f>
        <v>0.62916666666666643</v>
      </c>
      <c r="C78" s="39" t="str">
        <f>IF(E69&lt;F69,D69,IF(E69=F69,"Gagnant 5",C69))</f>
        <v>Gagnant 5</v>
      </c>
      <c r="D78" s="39" t="str">
        <f>IF(K69&lt;L69,J69,IF(K69=L69,"Gagnant 7",I69))</f>
        <v>Gagnant 7</v>
      </c>
      <c r="E78" s="55"/>
      <c r="F78" s="56"/>
      <c r="G78" s="504">
        <v>16</v>
      </c>
      <c r="H78" s="466">
        <f>B78</f>
        <v>0.62916666666666643</v>
      </c>
      <c r="I78" s="41" t="str">
        <f>IF(E70&lt;F70,D70,IF(E70=F70,"Gagnant 6",C70))</f>
        <v>Gagnant 6</v>
      </c>
      <c r="J78" s="41" t="str">
        <f>IF(K70&lt;L70,J70,IF(K70=L70,"Gagnant 8",I70))</f>
        <v>Gagnant 8</v>
      </c>
      <c r="K78" s="59"/>
      <c r="L78" s="60"/>
      <c r="M78" s="539">
        <v>14</v>
      </c>
      <c r="N78" s="537">
        <f>N77+$K$61+S5</f>
        <v>0.62916666666666643</v>
      </c>
      <c r="O78" s="43" t="str">
        <f>IF(Q69&lt;R69,P69,IF(Q69=R69,"Gagnant 5",O69))</f>
        <v>Gagnant 5</v>
      </c>
      <c r="P78" s="43" t="str">
        <f>IF(W69&lt;X69,V69,IF(W69=X69,"Gagnant 7",U69))</f>
        <v>Gagnant 7</v>
      </c>
      <c r="Q78" s="63"/>
      <c r="R78" s="64"/>
      <c r="S78" s="556">
        <v>16</v>
      </c>
      <c r="T78" s="557">
        <f>N78</f>
        <v>0.62916666666666643</v>
      </c>
      <c r="U78" s="45" t="str">
        <f>IF(Q70&lt;R70,P70,IF(Q70=R70,"Gagnant 6",O70))</f>
        <v>Gagnant 6</v>
      </c>
      <c r="V78" s="45" t="str">
        <f>IF(W70&lt;X70,V70,IF(W70=X70,"Gagnant 8",U70))</f>
        <v>Gagnant 8</v>
      </c>
      <c r="W78" s="67"/>
      <c r="X78" s="68"/>
    </row>
    <row r="79" spans="1:24" ht="15.75" thickBot="1" x14ac:dyDescent="0.3">
      <c r="A79" s="1090"/>
      <c r="B79" s="1090"/>
      <c r="C79" s="1090"/>
      <c r="D79" s="1090"/>
      <c r="E79" s="1090"/>
      <c r="F79" s="1090"/>
      <c r="G79" s="1090"/>
      <c r="H79" s="1090"/>
      <c r="I79" s="1090"/>
      <c r="J79" s="1090"/>
      <c r="K79" s="1090"/>
      <c r="L79" s="1091"/>
      <c r="M79" s="1090"/>
      <c r="N79" s="1090"/>
      <c r="O79" s="1090"/>
      <c r="P79" s="1090"/>
      <c r="Q79" s="1090"/>
      <c r="R79" s="1090"/>
      <c r="S79" s="1090"/>
      <c r="T79" s="1090"/>
      <c r="U79" s="1090"/>
      <c r="V79" s="1090"/>
      <c r="W79" s="1090"/>
      <c r="X79" s="1091"/>
    </row>
    <row r="80" spans="1:24" x14ac:dyDescent="0.25">
      <c r="A80" s="507"/>
      <c r="B80" s="453"/>
      <c r="C80" s="713" t="s">
        <v>277</v>
      </c>
      <c r="D80" s="713"/>
      <c r="E80" s="713" t="s">
        <v>16</v>
      </c>
      <c r="F80" s="714"/>
      <c r="G80" s="503"/>
      <c r="H80" s="455"/>
      <c r="I80" s="715" t="s">
        <v>277</v>
      </c>
      <c r="J80" s="715"/>
      <c r="K80" s="715" t="s">
        <v>16</v>
      </c>
      <c r="L80" s="716"/>
      <c r="M80" s="538"/>
      <c r="N80" s="535"/>
      <c r="O80" s="786" t="s">
        <v>277</v>
      </c>
      <c r="P80" s="786"/>
      <c r="Q80" s="786" t="s">
        <v>16</v>
      </c>
      <c r="R80" s="787"/>
      <c r="S80" s="552"/>
      <c r="T80" s="553"/>
      <c r="U80" s="784" t="s">
        <v>277</v>
      </c>
      <c r="V80" s="784"/>
      <c r="W80" s="784" t="s">
        <v>16</v>
      </c>
      <c r="X80" s="785"/>
    </row>
    <row r="81" spans="1:24" x14ac:dyDescent="0.25">
      <c r="A81" s="457">
        <v>17</v>
      </c>
      <c r="B81" s="458">
        <f>B78+K61+S5</f>
        <v>0.64166666666666639</v>
      </c>
      <c r="C81" s="31" t="str">
        <f>IF(E73&lt;F73,C73,IF(E73=F73,"Perdant 9",D73))</f>
        <v>Perdant 9</v>
      </c>
      <c r="D81" s="31" t="str">
        <f>IF(E74&lt;F74,C74,IF(E74=F74,"Perdant 10",D74))</f>
        <v>Perdant 10</v>
      </c>
      <c r="E81" s="53"/>
      <c r="F81" s="54"/>
      <c r="G81" s="459">
        <v>19</v>
      </c>
      <c r="H81" s="460">
        <f>B81</f>
        <v>0.64166666666666639</v>
      </c>
      <c r="I81" s="33" t="str">
        <f>IF(K73&lt;L73,I73,IF(K73=L73,"Perdant 11",J73))</f>
        <v>Perdant 11</v>
      </c>
      <c r="J81" s="33" t="str">
        <f>IF(K74&lt;L74,I74,IF(K74=L74,"Perdant 12",J74))</f>
        <v>Perdant 12</v>
      </c>
      <c r="K81" s="57"/>
      <c r="L81" s="58"/>
      <c r="M81" s="462">
        <v>17</v>
      </c>
      <c r="N81" s="536">
        <f>B81</f>
        <v>0.64166666666666639</v>
      </c>
      <c r="O81" s="35" t="str">
        <f>IF(Q73&lt;R73,O73,IF(Q73=R73,"Perdant 9",P73))</f>
        <v>Perdant 9</v>
      </c>
      <c r="P81" s="35" t="str">
        <f>IF(Q74&lt;R74,O74,IF(Q74=R74,"Perdant 10",P74))</f>
        <v>Perdant 10</v>
      </c>
      <c r="Q81" s="61"/>
      <c r="R81" s="62"/>
      <c r="S81" s="554">
        <v>19</v>
      </c>
      <c r="T81" s="555">
        <f>N81</f>
        <v>0.64166666666666639</v>
      </c>
      <c r="U81" s="37" t="str">
        <f>IF(W73&lt;X73,U73,IF(W73=X73,"Perdant 11",V73))</f>
        <v>Perdant 11</v>
      </c>
      <c r="V81" s="37" t="str">
        <f>IF(W74&lt;X74,U74,IF(W74=X74,"Perdant 12",V74))</f>
        <v>Perdant 12</v>
      </c>
      <c r="W81" s="65"/>
      <c r="X81" s="66"/>
    </row>
    <row r="82" spans="1:24" ht="15.75" thickBot="1" x14ac:dyDescent="0.3">
      <c r="A82" s="463">
        <v>18</v>
      </c>
      <c r="B82" s="464">
        <f>H81+$K$61+S5</f>
        <v>0.65416666666666634</v>
      </c>
      <c r="C82" s="39" t="str">
        <f>IF(E73&lt;F73,D73,IF(E73=F73,"Gagnant 9",C73))</f>
        <v>Gagnant 9</v>
      </c>
      <c r="D82" s="39" t="str">
        <f>IF(E74&lt;F74,D74,IF(E74=F74,"Gagnant 10",C74))</f>
        <v>Gagnant 10</v>
      </c>
      <c r="E82" s="55"/>
      <c r="F82" s="56"/>
      <c r="G82" s="504">
        <v>20</v>
      </c>
      <c r="H82" s="466">
        <f>B82</f>
        <v>0.65416666666666634</v>
      </c>
      <c r="I82" s="41" t="str">
        <f>IF(K73&lt;L73,J73,IF(K73=L73,"Gagnant 11",I73))</f>
        <v>Gagnant 11</v>
      </c>
      <c r="J82" s="41" t="str">
        <f>IF(K74&lt;L74,J74,IF(K74=L74,"Gagnant 12",I74))</f>
        <v>Gagnant 12</v>
      </c>
      <c r="K82" s="59"/>
      <c r="L82" s="60"/>
      <c r="M82" s="539">
        <v>18</v>
      </c>
      <c r="N82" s="537">
        <f>T81+$K$61+S5</f>
        <v>0.65416666666666634</v>
      </c>
      <c r="O82" s="43" t="str">
        <f>IF(Q73&lt;R73,P73,IF(Q73=R73,"Gagnant 9",O73))</f>
        <v>Gagnant 9</v>
      </c>
      <c r="P82" s="43" t="str">
        <f>IF(Q74&lt;R74,P74,IF(Q74=R74,"Gagnant 10",O74))</f>
        <v>Gagnant 10</v>
      </c>
      <c r="Q82" s="63"/>
      <c r="R82" s="64"/>
      <c r="S82" s="556">
        <v>20</v>
      </c>
      <c r="T82" s="557">
        <f>N82</f>
        <v>0.65416666666666634</v>
      </c>
      <c r="U82" s="45" t="str">
        <f>IF(W73&lt;X73,V73,IF(W73=X73,"Gagnant 11",U73))</f>
        <v>Gagnant 11</v>
      </c>
      <c r="V82" s="45" t="str">
        <f>IF(W74&lt;X74,V74,IF(W74=X74,"Gagnant 12",U74))</f>
        <v>Gagnant 12</v>
      </c>
      <c r="W82" s="67"/>
      <c r="X82" s="68"/>
    </row>
    <row r="83" spans="1:24" ht="5.0999999999999996" customHeight="1" thickBot="1" x14ac:dyDescent="0.3">
      <c r="A83" s="1090"/>
      <c r="B83" s="1090"/>
      <c r="C83" s="1090"/>
      <c r="D83" s="1090"/>
      <c r="E83" s="1090"/>
      <c r="F83" s="1090"/>
      <c r="G83" s="1090"/>
      <c r="H83" s="1090"/>
      <c r="I83" s="1090"/>
      <c r="J83" s="1090"/>
      <c r="K83" s="1090"/>
      <c r="L83" s="1091"/>
      <c r="M83" s="1090"/>
      <c r="N83" s="1090"/>
      <c r="O83" s="1090"/>
      <c r="P83" s="1090"/>
      <c r="Q83" s="1090"/>
      <c r="R83" s="1090"/>
      <c r="S83" s="1090"/>
      <c r="T83" s="1090"/>
      <c r="U83" s="1090"/>
      <c r="V83" s="1090"/>
      <c r="W83" s="1090"/>
      <c r="X83" s="1091"/>
    </row>
    <row r="84" spans="1:24" x14ac:dyDescent="0.25">
      <c r="A84" s="507"/>
      <c r="B84" s="453"/>
      <c r="C84" s="713" t="s">
        <v>277</v>
      </c>
      <c r="D84" s="713"/>
      <c r="E84" s="713" t="s">
        <v>16</v>
      </c>
      <c r="F84" s="714"/>
      <c r="G84" s="503"/>
      <c r="H84" s="455"/>
      <c r="I84" s="715" t="s">
        <v>277</v>
      </c>
      <c r="J84" s="715"/>
      <c r="K84" s="715" t="s">
        <v>16</v>
      </c>
      <c r="L84" s="716"/>
      <c r="M84" s="538"/>
      <c r="N84" s="535"/>
      <c r="O84" s="786" t="s">
        <v>277</v>
      </c>
      <c r="P84" s="786"/>
      <c r="Q84" s="786" t="s">
        <v>16</v>
      </c>
      <c r="R84" s="787"/>
      <c r="S84" s="552"/>
      <c r="T84" s="553"/>
      <c r="U84" s="784" t="s">
        <v>277</v>
      </c>
      <c r="V84" s="784"/>
      <c r="W84" s="784" t="s">
        <v>16</v>
      </c>
      <c r="X84" s="785"/>
    </row>
    <row r="85" spans="1:24" ht="15.75" thickBot="1" x14ac:dyDescent="0.3">
      <c r="A85" s="463">
        <v>21</v>
      </c>
      <c r="B85" s="464">
        <f>B82+K61+S5</f>
        <v>0.6666666666666663</v>
      </c>
      <c r="C85" s="39" t="str">
        <f>IF(E77&lt;F77,C77,IF(E77=F77,"Perdant 13",D77))</f>
        <v>Perdant 13</v>
      </c>
      <c r="D85" s="39" t="str">
        <f>IF(E78&lt;F78,C78,IF(E78=F78,"Perdant 14",D78))</f>
        <v>Perdant 14</v>
      </c>
      <c r="E85" s="55"/>
      <c r="F85" s="56"/>
      <c r="G85" s="504">
        <v>23</v>
      </c>
      <c r="H85" s="466">
        <f>B85</f>
        <v>0.6666666666666663</v>
      </c>
      <c r="I85" s="41" t="str">
        <f>IF(K77&lt;L77,I77,IF(K77=L77,"Perdant 15",J77))</f>
        <v>Perdant 15</v>
      </c>
      <c r="J85" s="41" t="str">
        <f>IF(K78&lt;L78,I78,IF(K78=L78,"Perdant 16",J78))</f>
        <v>Perdant 16</v>
      </c>
      <c r="K85" s="59"/>
      <c r="L85" s="60"/>
      <c r="M85" s="539">
        <v>21</v>
      </c>
      <c r="N85" s="537">
        <f>B85</f>
        <v>0.6666666666666663</v>
      </c>
      <c r="O85" s="43" t="str">
        <f>IF(Q77&lt;R77,O77,IF(Q77=R77,"Perdant 13",P77))</f>
        <v>Perdant 13</v>
      </c>
      <c r="P85" s="43" t="str">
        <f>IF(Q78&lt;R78,O78,IF(Q78=R78,"Perdant 14",P78))</f>
        <v>Perdant 14</v>
      </c>
      <c r="Q85" s="63"/>
      <c r="R85" s="64"/>
      <c r="S85" s="556">
        <v>23</v>
      </c>
      <c r="T85" s="557">
        <f>N85</f>
        <v>0.6666666666666663</v>
      </c>
      <c r="U85" s="45" t="str">
        <f>IF(W77&lt;X77,U77,IF(W77=X77,"Perdant 15",V77))</f>
        <v>Perdant 15</v>
      </c>
      <c r="V85" s="45" t="str">
        <f>IF(W78&lt;X78,U78,IF(W78=X78,"Perdant 16",V78))</f>
        <v>Perdant 16</v>
      </c>
      <c r="W85" s="67"/>
      <c r="X85" s="68"/>
    </row>
    <row r="86" spans="1:24" ht="5.0999999999999996" customHeight="1" thickBot="1" x14ac:dyDescent="0.3">
      <c r="A86" s="1090"/>
      <c r="B86" s="1090"/>
      <c r="C86" s="1090"/>
      <c r="D86" s="1090"/>
      <c r="E86" s="1090"/>
      <c r="F86" s="1090"/>
      <c r="G86" s="1090"/>
      <c r="H86" s="1090"/>
      <c r="I86" s="1090"/>
      <c r="J86" s="1090"/>
      <c r="K86" s="1090"/>
      <c r="L86" s="1091"/>
      <c r="M86" s="1090"/>
      <c r="N86" s="1090"/>
      <c r="O86" s="1090"/>
      <c r="P86" s="1090"/>
      <c r="Q86" s="1090"/>
      <c r="R86" s="1090"/>
      <c r="S86" s="1090"/>
      <c r="T86" s="1090"/>
      <c r="U86" s="1090"/>
      <c r="V86" s="1090"/>
      <c r="W86" s="1090"/>
      <c r="X86" s="1091"/>
    </row>
    <row r="87" spans="1:24" x14ac:dyDescent="0.25">
      <c r="A87" s="507"/>
      <c r="B87" s="509"/>
      <c r="C87" s="713" t="s">
        <v>278</v>
      </c>
      <c r="D87" s="713"/>
      <c r="E87" s="713" t="s">
        <v>16</v>
      </c>
      <c r="F87" s="714"/>
      <c r="G87" s="503"/>
      <c r="H87" s="510"/>
      <c r="I87" s="715" t="s">
        <v>278</v>
      </c>
      <c r="J87" s="715"/>
      <c r="K87" s="715" t="s">
        <v>16</v>
      </c>
      <c r="L87" s="716"/>
      <c r="M87" s="538"/>
      <c r="N87" s="540"/>
      <c r="O87" s="786" t="s">
        <v>278</v>
      </c>
      <c r="P87" s="786"/>
      <c r="Q87" s="786" t="s">
        <v>16</v>
      </c>
      <c r="R87" s="787"/>
      <c r="S87" s="552"/>
      <c r="T87" s="558"/>
      <c r="U87" s="784" t="s">
        <v>278</v>
      </c>
      <c r="V87" s="784"/>
      <c r="W87" s="784" t="s">
        <v>16</v>
      </c>
      <c r="X87" s="785"/>
    </row>
    <row r="88" spans="1:24" ht="15.75" thickBot="1" x14ac:dyDescent="0.3">
      <c r="A88" s="463">
        <v>22</v>
      </c>
      <c r="B88" s="464">
        <f>B85+$K$61+S5</f>
        <v>0.67916666666666625</v>
      </c>
      <c r="C88" s="39" t="str">
        <f>IF(E77&lt;F77,D77,IF(E77=F77,"Gagnant 13",C77))</f>
        <v>Gagnant 13</v>
      </c>
      <c r="D88" s="39" t="str">
        <f>IF(E78&lt;F78,D78,IF(E78=F78,"Gagnant 14",C78))</f>
        <v>Gagnant 14</v>
      </c>
      <c r="E88" s="55"/>
      <c r="F88" s="56"/>
      <c r="G88" s="504">
        <v>24</v>
      </c>
      <c r="H88" s="466">
        <f>B88</f>
        <v>0.67916666666666625</v>
      </c>
      <c r="I88" s="41" t="str">
        <f>IF(K77&lt;L77,J77,IF(K77=L77,"Gagnant 15",I77))</f>
        <v>Gagnant 15</v>
      </c>
      <c r="J88" s="41" t="str">
        <f>IF(K78&lt;L78,J78,IF(K78=L78,"Gagnant 16",I78))</f>
        <v>Gagnant 16</v>
      </c>
      <c r="K88" s="59"/>
      <c r="L88" s="60"/>
      <c r="M88" s="539">
        <v>22</v>
      </c>
      <c r="N88" s="537">
        <f>B88</f>
        <v>0.67916666666666625</v>
      </c>
      <c r="O88" s="43" t="str">
        <f>IF(Q77&lt;R77,P77,IF(Q77=R77,"Gagnant 13",O77))</f>
        <v>Gagnant 13</v>
      </c>
      <c r="P88" s="43" t="str">
        <f>IF(Q78&lt;R78,P78,IF(Q78=R78,"Gagnant 14",O78))</f>
        <v>Gagnant 14</v>
      </c>
      <c r="Q88" s="63"/>
      <c r="R88" s="64"/>
      <c r="S88" s="556">
        <v>24</v>
      </c>
      <c r="T88" s="557">
        <f>N88</f>
        <v>0.67916666666666625</v>
      </c>
      <c r="U88" s="45" t="str">
        <f>IF(W77&lt;X77,V77,IF(W77=X77,"Gagnant 15",U77))</f>
        <v>Gagnant 15</v>
      </c>
      <c r="V88" s="45" t="str">
        <f>IF(W78&lt;X78,V78,IF(W78=X78,"Gagnant 16",U78))</f>
        <v>Gagnant 16</v>
      </c>
      <c r="W88" s="67"/>
      <c r="X88" s="68"/>
    </row>
    <row r="89" spans="1:24" ht="15.75" thickBot="1" x14ac:dyDescent="0.3">
      <c r="A89" s="1092"/>
      <c r="B89" s="1090"/>
      <c r="C89" s="1090"/>
      <c r="D89" s="1090"/>
      <c r="E89" s="1090"/>
      <c r="F89" s="1090"/>
      <c r="G89" s="1092"/>
      <c r="H89" s="1090"/>
      <c r="I89" s="1090"/>
      <c r="J89" s="1090"/>
      <c r="K89" s="1090"/>
      <c r="L89" s="1091"/>
      <c r="M89" s="1092"/>
      <c r="N89" s="1090"/>
      <c r="O89" s="1090"/>
      <c r="P89" s="1090"/>
      <c r="Q89" s="1090"/>
      <c r="R89" s="1090"/>
      <c r="S89" s="1092"/>
      <c r="T89" s="1090"/>
      <c r="U89" s="1090"/>
      <c r="V89" s="1090"/>
      <c r="W89" s="1090"/>
      <c r="X89" s="1091"/>
    </row>
    <row r="90" spans="1:24" x14ac:dyDescent="0.25">
      <c r="A90" s="1098"/>
      <c r="B90" s="1000" t="s">
        <v>279</v>
      </c>
      <c r="C90" s="713"/>
      <c r="D90" s="713"/>
      <c r="E90" s="713" t="s">
        <v>16</v>
      </c>
      <c r="F90" s="714"/>
      <c r="G90" s="1098"/>
      <c r="H90" s="1101" t="s">
        <v>280</v>
      </c>
      <c r="I90" s="715"/>
      <c r="J90" s="715"/>
      <c r="K90" s="715" t="s">
        <v>16</v>
      </c>
      <c r="L90" s="716"/>
      <c r="M90" s="1098"/>
      <c r="N90" s="1102" t="s">
        <v>295</v>
      </c>
      <c r="O90" s="786"/>
      <c r="P90" s="786"/>
      <c r="Q90" s="786" t="s">
        <v>16</v>
      </c>
      <c r="R90" s="787"/>
      <c r="S90" s="1098"/>
      <c r="T90" s="1103" t="s">
        <v>294</v>
      </c>
      <c r="U90" s="784"/>
      <c r="V90" s="784"/>
      <c r="W90" s="784" t="s">
        <v>16</v>
      </c>
      <c r="X90" s="785"/>
    </row>
    <row r="91" spans="1:24" ht="15.75" thickBot="1" x14ac:dyDescent="0.3">
      <c r="A91" s="1099"/>
      <c r="B91" s="38">
        <f>B88+K61+S5</f>
        <v>0.69166666666666621</v>
      </c>
      <c r="C91" s="39" t="str">
        <f>IF(E81&lt;F81,C81,IF(E81=F81,"Perdant 17",D81))</f>
        <v>Perdant 17</v>
      </c>
      <c r="D91" s="39" t="str">
        <f>IF(K81&lt;L81,I81,IF(K81=L81,"Perdant 19",J81))</f>
        <v>Perdant 19</v>
      </c>
      <c r="E91" s="55"/>
      <c r="F91" s="56"/>
      <c r="G91" s="1099"/>
      <c r="H91" s="40">
        <f>B91</f>
        <v>0.69166666666666621</v>
      </c>
      <c r="I91" s="41" t="str">
        <f>IF(E81&lt;F81,D81,IF(E81=F81,"Gagnant 17",C81))</f>
        <v>Gagnant 17</v>
      </c>
      <c r="J91" s="41" t="str">
        <f>IF(K81&lt;L81,J81,IF(K81=L81,"Gagnant 19",I81))</f>
        <v>Gagnant 19</v>
      </c>
      <c r="K91" s="59"/>
      <c r="L91" s="60"/>
      <c r="M91" s="1099"/>
      <c r="N91" s="42">
        <f>B91</f>
        <v>0.69166666666666621</v>
      </c>
      <c r="O91" s="43" t="str">
        <f>IF(Q81&lt;R81,O81,IF(Q81=R81,"Perdant 17",P81))</f>
        <v>Perdant 17</v>
      </c>
      <c r="P91" s="43" t="str">
        <f>IF(W81&lt;X81,U81,IF(W81=X81,"Perdant 19",V81))</f>
        <v>Perdant 19</v>
      </c>
      <c r="Q91" s="63"/>
      <c r="R91" s="64"/>
      <c r="S91" s="1099"/>
      <c r="T91" s="44">
        <f>N91</f>
        <v>0.69166666666666621</v>
      </c>
      <c r="U91" s="45" t="str">
        <f>IF(Q81&lt;R81,P81,IF(Q81=R81,"Gagnant 17",O81))</f>
        <v>Gagnant 17</v>
      </c>
      <c r="V91" s="45" t="str">
        <f>IF(W81&lt;X81,V81,IF(W81=X81,"Gagnant 19",U81))</f>
        <v>Gagnant 19</v>
      </c>
      <c r="W91" s="67"/>
      <c r="X91" s="68"/>
    </row>
    <row r="92" spans="1:24" ht="5.0999999999999996" customHeight="1" thickBot="1" x14ac:dyDescent="0.3">
      <c r="A92" s="1099"/>
      <c r="B92" s="1125"/>
      <c r="C92" s="1126"/>
      <c r="D92" s="1126"/>
      <c r="E92" s="1126"/>
      <c r="F92" s="1127"/>
      <c r="G92" s="1099"/>
      <c r="H92" s="1128"/>
      <c r="I92" s="1129"/>
      <c r="J92" s="1129"/>
      <c r="K92" s="1129"/>
      <c r="L92" s="1130"/>
      <c r="M92" s="1099"/>
      <c r="N92" s="1119"/>
      <c r="O92" s="1120"/>
      <c r="P92" s="1120"/>
      <c r="Q92" s="1120"/>
      <c r="R92" s="1121"/>
      <c r="S92" s="1099"/>
      <c r="T92" s="1122"/>
      <c r="U92" s="1123"/>
      <c r="V92" s="1123"/>
      <c r="W92" s="1123"/>
      <c r="X92" s="1124"/>
    </row>
    <row r="93" spans="1:24" x14ac:dyDescent="0.25">
      <c r="A93" s="1099"/>
      <c r="B93" s="1000" t="s">
        <v>281</v>
      </c>
      <c r="C93" s="713"/>
      <c r="D93" s="713"/>
      <c r="E93" s="713" t="s">
        <v>16</v>
      </c>
      <c r="F93" s="714"/>
      <c r="G93" s="1099"/>
      <c r="H93" s="1101" t="s">
        <v>282</v>
      </c>
      <c r="I93" s="715"/>
      <c r="J93" s="715"/>
      <c r="K93" s="715" t="s">
        <v>16</v>
      </c>
      <c r="L93" s="716"/>
      <c r="M93" s="1099"/>
      <c r="N93" s="1102" t="s">
        <v>293</v>
      </c>
      <c r="O93" s="786"/>
      <c r="P93" s="786"/>
      <c r="Q93" s="786" t="s">
        <v>16</v>
      </c>
      <c r="R93" s="787"/>
      <c r="S93" s="1099"/>
      <c r="T93" s="1103" t="s">
        <v>292</v>
      </c>
      <c r="U93" s="784"/>
      <c r="V93" s="784"/>
      <c r="W93" s="784" t="s">
        <v>16</v>
      </c>
      <c r="X93" s="785"/>
    </row>
    <row r="94" spans="1:24" ht="15.75" thickBot="1" x14ac:dyDescent="0.3">
      <c r="A94" s="1100"/>
      <c r="B94" s="38">
        <f>B91+$K$61+S5</f>
        <v>0.70416666666666616</v>
      </c>
      <c r="C94" s="39" t="str">
        <f>IF(E82&lt;F82,C82,IF(E82=F82,"Perdant 18",D82))</f>
        <v>Perdant 18</v>
      </c>
      <c r="D94" s="39" t="str">
        <f>IF(K82&lt;L82,I82,IF(K82=L82,"Perdant 20",J82))</f>
        <v>Perdant 20</v>
      </c>
      <c r="E94" s="55"/>
      <c r="F94" s="56"/>
      <c r="G94" s="1100"/>
      <c r="H94" s="40">
        <f>B94</f>
        <v>0.70416666666666616</v>
      </c>
      <c r="I94" s="41" t="str">
        <f>IF(E82&lt;F82,D82,IF(E82=F82,"Gagnant 18",C82))</f>
        <v>Gagnant 18</v>
      </c>
      <c r="J94" s="41" t="str">
        <f>IF(K82&lt;L82,J82,IF(K82=L82,"Gagnant 20",I82))</f>
        <v>Gagnant 20</v>
      </c>
      <c r="K94" s="59"/>
      <c r="L94" s="60"/>
      <c r="M94" s="1100"/>
      <c r="N94" s="42">
        <f>B94</f>
        <v>0.70416666666666616</v>
      </c>
      <c r="O94" s="43" t="str">
        <f>IF(Q82&lt;R82,O82,IF(Q82=R82,"Perdant 18",P82))</f>
        <v>Perdant 18</v>
      </c>
      <c r="P94" s="43" t="str">
        <f>IF(W82&lt;X82,U82,IF(W82=X82,"Perdant 20",V82))</f>
        <v>Perdant 20</v>
      </c>
      <c r="Q94" s="63"/>
      <c r="R94" s="64"/>
      <c r="S94" s="1100"/>
      <c r="T94" s="44">
        <f>N94</f>
        <v>0.70416666666666616</v>
      </c>
      <c r="U94" s="45" t="str">
        <f>IF(Q82&lt;R82,P82,IF(Q82=R82,"Gagnant 18",O82))</f>
        <v>Gagnant 18</v>
      </c>
      <c r="V94" s="45" t="str">
        <f>IF(W82&lt;X82,V82,IF(W82=X82,"Gagnant 20",U82))</f>
        <v>Gagnant 20</v>
      </c>
      <c r="W94" s="67"/>
      <c r="X94" s="68"/>
    </row>
    <row r="95" spans="1:24" ht="15" customHeight="1" thickBot="1" x14ac:dyDescent="0.3">
      <c r="A95" s="1036"/>
      <c r="B95" s="694"/>
      <c r="C95" s="694"/>
      <c r="D95" s="694"/>
      <c r="E95" s="694"/>
      <c r="F95" s="694"/>
      <c r="G95" s="1036"/>
      <c r="H95" s="694"/>
      <c r="I95" s="694"/>
      <c r="J95" s="694"/>
      <c r="K95" s="694"/>
      <c r="L95" s="695"/>
      <c r="M95" s="1036"/>
      <c r="N95" s="694"/>
      <c r="O95" s="694"/>
      <c r="P95" s="694"/>
      <c r="Q95" s="694"/>
      <c r="R95" s="694"/>
      <c r="S95" s="1036"/>
      <c r="T95" s="694"/>
      <c r="U95" s="694"/>
      <c r="V95" s="694"/>
      <c r="W95" s="694"/>
      <c r="X95" s="695"/>
    </row>
    <row r="96" spans="1:24" x14ac:dyDescent="0.25">
      <c r="A96" s="1098"/>
      <c r="B96" s="1000" t="s">
        <v>283</v>
      </c>
      <c r="C96" s="713"/>
      <c r="D96" s="713"/>
      <c r="E96" s="713" t="s">
        <v>16</v>
      </c>
      <c r="F96" s="714"/>
      <c r="G96" s="1098"/>
      <c r="H96" s="1101" t="s">
        <v>286</v>
      </c>
      <c r="I96" s="715"/>
      <c r="J96" s="715"/>
      <c r="K96" s="715" t="s">
        <v>16</v>
      </c>
      <c r="L96" s="716"/>
      <c r="M96" s="1098"/>
      <c r="N96" s="1102" t="s">
        <v>289</v>
      </c>
      <c r="O96" s="786"/>
      <c r="P96" s="786"/>
      <c r="Q96" s="786" t="s">
        <v>16</v>
      </c>
      <c r="R96" s="787"/>
      <c r="S96" s="1098"/>
      <c r="T96" s="1103" t="s">
        <v>291</v>
      </c>
      <c r="U96" s="784"/>
      <c r="V96" s="784"/>
      <c r="W96" s="784" t="s">
        <v>16</v>
      </c>
      <c r="X96" s="785"/>
    </row>
    <row r="97" spans="1:24" ht="15.75" thickBot="1" x14ac:dyDescent="0.3">
      <c r="A97" s="1099"/>
      <c r="B97" s="38">
        <f>B94+K61+S5</f>
        <v>0.71666666666666612</v>
      </c>
      <c r="C97" s="39" t="str">
        <f>IF(E88&lt;F88,C88,IF(E88=F88,"Perdant 21",D88))</f>
        <v>Perdant 21</v>
      </c>
      <c r="D97" s="39" t="str">
        <f>IF(K85&lt;L85,I85,IF(K85=L85,"Perdant 23",J85))</f>
        <v>Perdant 23</v>
      </c>
      <c r="E97" s="55"/>
      <c r="F97" s="56"/>
      <c r="G97" s="1099"/>
      <c r="H97" s="40">
        <f>B97</f>
        <v>0.71666666666666612</v>
      </c>
      <c r="I97" s="41" t="str">
        <f>IF(E88&lt;F88,C88,IF(E88=F88,"Perdant 22",D88))</f>
        <v>Perdant 22</v>
      </c>
      <c r="J97" s="41" t="str">
        <f>IF(K88&lt;L88,I88,IF(K88=L88,"Perdant 24",J88))</f>
        <v>Perdant 24</v>
      </c>
      <c r="K97" s="59"/>
      <c r="L97" s="60"/>
      <c r="M97" s="1099"/>
      <c r="N97" s="42">
        <f>B97</f>
        <v>0.71666666666666612</v>
      </c>
      <c r="O97" s="43" t="str">
        <f>IF(Q88&lt;R88,O88,IF(Q88=R88,"Perdant 21",P88))</f>
        <v>Perdant 21</v>
      </c>
      <c r="P97" s="43" t="str">
        <f>IF(W85&lt;X85,U85,IF(W85=X85,"Perdant 23",V85))</f>
        <v>Perdant 23</v>
      </c>
      <c r="Q97" s="63"/>
      <c r="R97" s="64"/>
      <c r="S97" s="1099"/>
      <c r="T97" s="44">
        <f>N97</f>
        <v>0.71666666666666612</v>
      </c>
      <c r="U97" s="45" t="str">
        <f>IF(Q88&lt;R88,O88,IF(Q88=R88,"Perdant 22",P88))</f>
        <v>Perdant 22</v>
      </c>
      <c r="V97" s="45" t="str">
        <f>IF(W88&lt;X88,U88,IF(W88=X88,"Perdant 24",V88))</f>
        <v>Perdant 24</v>
      </c>
      <c r="W97" s="67"/>
      <c r="X97" s="68"/>
    </row>
    <row r="98" spans="1:24" ht="5.0999999999999996" customHeight="1" thickBot="1" x14ac:dyDescent="0.3">
      <c r="A98" s="1099"/>
      <c r="B98" s="1125"/>
      <c r="C98" s="1126"/>
      <c r="D98" s="1126"/>
      <c r="E98" s="1126"/>
      <c r="F98" s="1127"/>
      <c r="G98" s="1099"/>
      <c r="H98" s="1128"/>
      <c r="I98" s="1129"/>
      <c r="J98" s="1129"/>
      <c r="K98" s="1129"/>
      <c r="L98" s="1130"/>
      <c r="M98" s="1099"/>
      <c r="N98" s="1119"/>
      <c r="O98" s="1120"/>
      <c r="P98" s="1120"/>
      <c r="Q98" s="1120"/>
      <c r="R98" s="1121"/>
      <c r="S98" s="1099"/>
      <c r="T98" s="1122"/>
      <c r="U98" s="1123"/>
      <c r="V98" s="1123"/>
      <c r="W98" s="1123"/>
      <c r="X98" s="1124"/>
    </row>
    <row r="99" spans="1:24" x14ac:dyDescent="0.25">
      <c r="A99" s="1099"/>
      <c r="B99" s="1000" t="s">
        <v>284</v>
      </c>
      <c r="C99" s="713"/>
      <c r="D99" s="713"/>
      <c r="E99" s="713" t="s">
        <v>16</v>
      </c>
      <c r="F99" s="714"/>
      <c r="G99" s="1099"/>
      <c r="H99" s="1101" t="s">
        <v>285</v>
      </c>
      <c r="I99" s="715"/>
      <c r="J99" s="715"/>
      <c r="K99" s="715" t="s">
        <v>16</v>
      </c>
      <c r="L99" s="716"/>
      <c r="M99" s="1099"/>
      <c r="N99" s="1102" t="s">
        <v>290</v>
      </c>
      <c r="O99" s="786"/>
      <c r="P99" s="786"/>
      <c r="Q99" s="786" t="s">
        <v>16</v>
      </c>
      <c r="R99" s="787"/>
      <c r="S99" s="1099"/>
      <c r="T99" s="1103" t="s">
        <v>72</v>
      </c>
      <c r="U99" s="784"/>
      <c r="V99" s="784"/>
      <c r="W99" s="784" t="s">
        <v>16</v>
      </c>
      <c r="X99" s="785"/>
    </row>
    <row r="100" spans="1:24" ht="15.75" thickBot="1" x14ac:dyDescent="0.3">
      <c r="A100" s="1100"/>
      <c r="B100" s="38">
        <f>B97+$K$61+S5</f>
        <v>0.72916666666666607</v>
      </c>
      <c r="C100" s="39" t="str">
        <f>IF(E85&lt;F85,D85,IF(E85=F85,"Gagnant 21",C85))</f>
        <v>Gagnant 21</v>
      </c>
      <c r="D100" s="39" t="str">
        <f>IF(K85&lt;L85,J85,IF(K85=L85,"Gagnant 23",I85))</f>
        <v>Gagnant 23</v>
      </c>
      <c r="E100" s="55"/>
      <c r="F100" s="56"/>
      <c r="G100" s="1100"/>
      <c r="H100" s="40">
        <f>B100</f>
        <v>0.72916666666666607</v>
      </c>
      <c r="I100" s="41" t="str">
        <f>IF(E88&lt;F88,D88,IF(E88=F88,"Gagnant 22",C88))</f>
        <v>Gagnant 22</v>
      </c>
      <c r="J100" s="41" t="str">
        <f>IF(K88&lt;L88,J88,IF(K88=L88,"Gagnant 24",I88))</f>
        <v>Gagnant 24</v>
      </c>
      <c r="K100" s="59"/>
      <c r="L100" s="60"/>
      <c r="M100" s="1100"/>
      <c r="N100" s="42">
        <f>B100</f>
        <v>0.72916666666666607</v>
      </c>
      <c r="O100" s="43" t="str">
        <f>IF(Q85&lt;R85,P85,IF(Q85=R85,"Gagnant 21",O85))</f>
        <v>Gagnant 21</v>
      </c>
      <c r="P100" s="43" t="str">
        <f>IF(W85&lt;X85,V85,IF(W85=X85,"Gagnant 23",U85))</f>
        <v>Gagnant 23</v>
      </c>
      <c r="Q100" s="63"/>
      <c r="R100" s="64"/>
      <c r="S100" s="1100"/>
      <c r="T100" s="44">
        <f>N100</f>
        <v>0.72916666666666607</v>
      </c>
      <c r="U100" s="45" t="str">
        <f>IF(Q88&lt;R88,P88,IF(Q88=R88,"Gagnant 22",O88))</f>
        <v>Gagnant 22</v>
      </c>
      <c r="V100" s="45" t="str">
        <f>IF(W88&lt;X88,V88,IF(W88=X88,"Gagnant 24",U88))</f>
        <v>Gagnant 24</v>
      </c>
      <c r="W100" s="67"/>
      <c r="X100" s="68"/>
    </row>
    <row r="101" spans="1:24" ht="15.75" thickBot="1" x14ac:dyDescent="0.3">
      <c r="A101" s="1096"/>
      <c r="B101" s="1096"/>
      <c r="C101" s="1096"/>
      <c r="D101" s="1096"/>
      <c r="E101" s="1096"/>
      <c r="F101" s="1096"/>
      <c r="G101" s="1096"/>
      <c r="H101" s="1096"/>
      <c r="I101" s="1096"/>
      <c r="J101" s="1096"/>
      <c r="K101" s="1096"/>
      <c r="L101" s="1096"/>
      <c r="M101" s="1096"/>
      <c r="N101" s="1096"/>
      <c r="O101" s="1096"/>
      <c r="P101" s="1096"/>
      <c r="Q101" s="1096"/>
      <c r="R101" s="1096"/>
      <c r="S101" s="1096"/>
      <c r="T101" s="1096"/>
      <c r="U101" s="1096"/>
      <c r="V101" s="1096"/>
      <c r="W101" s="1096"/>
      <c r="X101" s="1097"/>
    </row>
    <row r="102" spans="1:24" ht="16.5" thickBot="1" x14ac:dyDescent="0.3">
      <c r="B102" s="702" t="s">
        <v>47</v>
      </c>
      <c r="C102" s="673"/>
      <c r="D102" s="673"/>
      <c r="E102" s="673"/>
      <c r="F102" s="673"/>
      <c r="G102" s="673"/>
      <c r="H102" s="673"/>
      <c r="I102" s="673"/>
      <c r="J102" s="673"/>
      <c r="K102" s="673"/>
      <c r="L102" s="673"/>
      <c r="M102" s="673"/>
      <c r="N102" s="673"/>
      <c r="O102" s="673"/>
      <c r="P102" s="673"/>
      <c r="Q102" s="673"/>
      <c r="R102" s="673"/>
      <c r="S102" s="673"/>
      <c r="T102" s="673"/>
      <c r="U102" s="762"/>
      <c r="V102" s="762"/>
      <c r="W102" s="762"/>
      <c r="X102" s="763"/>
    </row>
    <row r="103" spans="1:24" x14ac:dyDescent="0.25">
      <c r="B103" s="508">
        <v>1</v>
      </c>
      <c r="C103" s="1117" t="str">
        <f>IF(W100&gt;X100,U100,IF(W100=X100," ",V100))</f>
        <v xml:space="preserve"> </v>
      </c>
      <c r="D103" s="1117"/>
      <c r="E103" s="1117"/>
      <c r="F103" s="1117"/>
      <c r="G103" s="1117"/>
      <c r="H103" s="513">
        <v>9</v>
      </c>
      <c r="I103" s="1117" t="str">
        <f>IF(W94&gt;X94,U94,IF(W94=X94," ",V94))</f>
        <v xml:space="preserve"> </v>
      </c>
      <c r="J103" s="1117"/>
      <c r="K103" s="1117"/>
      <c r="L103" s="1117"/>
      <c r="M103" s="1117"/>
      <c r="N103" s="513">
        <v>17</v>
      </c>
      <c r="O103" s="1117" t="str">
        <f>IF(K100&gt;L100,I100,IF(K100=L100," ",J100))</f>
        <v xml:space="preserve"> </v>
      </c>
      <c r="P103" s="1117"/>
      <c r="Q103" s="1117"/>
      <c r="R103" s="1117"/>
      <c r="S103" s="1117"/>
      <c r="T103" s="513">
        <v>25</v>
      </c>
      <c r="U103" s="1117" t="str">
        <f>IF(K94&gt;L94,I94,IF(K94=L94," ",J94))</f>
        <v xml:space="preserve"> </v>
      </c>
      <c r="V103" s="1117"/>
      <c r="W103" s="1117"/>
      <c r="X103" s="1118"/>
    </row>
    <row r="104" spans="1:24" x14ac:dyDescent="0.25">
      <c r="B104" s="49">
        <v>2</v>
      </c>
      <c r="C104" s="1113" t="str">
        <f>IF(W100&lt;X100,U100,IF(W100=X100," ",V100))</f>
        <v xml:space="preserve"> </v>
      </c>
      <c r="D104" s="1113"/>
      <c r="E104" s="1113"/>
      <c r="F104" s="1113"/>
      <c r="G104" s="1113"/>
      <c r="H104" s="514">
        <v>10</v>
      </c>
      <c r="I104" s="1113" t="str">
        <f>IF(W94&lt;X94,U94,IF(W94=X94," ",V94))</f>
        <v xml:space="preserve"> </v>
      </c>
      <c r="J104" s="1113"/>
      <c r="K104" s="1113"/>
      <c r="L104" s="1113"/>
      <c r="M104" s="1113"/>
      <c r="N104" s="514">
        <v>18</v>
      </c>
      <c r="O104" s="1113" t="str">
        <f>IF(K100&lt;L100,I100,IF(K100=L100," ",J100))</f>
        <v xml:space="preserve"> </v>
      </c>
      <c r="P104" s="1113"/>
      <c r="Q104" s="1113"/>
      <c r="R104" s="1113"/>
      <c r="S104" s="1113"/>
      <c r="T104" s="514">
        <v>26</v>
      </c>
      <c r="U104" s="1113" t="str">
        <f>IF(K94&lt;L94,I94,IF(K94=L94," ",J94))</f>
        <v xml:space="preserve"> </v>
      </c>
      <c r="V104" s="1113"/>
      <c r="W104" s="1113"/>
      <c r="X104" s="1114"/>
    </row>
    <row r="105" spans="1:24" x14ac:dyDescent="0.25">
      <c r="B105" s="49">
        <v>3</v>
      </c>
      <c r="C105" s="1113" t="str">
        <f>IF(W97&gt;X97,U97,IF(W97=X97," ",V97))</f>
        <v xml:space="preserve"> </v>
      </c>
      <c r="D105" s="1113"/>
      <c r="E105" s="1113"/>
      <c r="F105" s="1113"/>
      <c r="G105" s="1113"/>
      <c r="H105" s="514">
        <v>11</v>
      </c>
      <c r="I105" s="1113" t="str">
        <f>IF(Q94&gt;R94,O94,IF(Q94=R94," ",P94))</f>
        <v xml:space="preserve"> </v>
      </c>
      <c r="J105" s="1113"/>
      <c r="K105" s="1113"/>
      <c r="L105" s="1113"/>
      <c r="M105" s="1113"/>
      <c r="N105" s="514">
        <v>19</v>
      </c>
      <c r="O105" s="1113" t="str">
        <f>IF(K97&gt;L97,I97,IF(K97=L97," ",J97))</f>
        <v xml:space="preserve"> </v>
      </c>
      <c r="P105" s="1113"/>
      <c r="Q105" s="1113"/>
      <c r="R105" s="1113"/>
      <c r="S105" s="1113"/>
      <c r="T105" s="514">
        <v>27</v>
      </c>
      <c r="U105" s="1113" t="str">
        <f>IF(E94&gt;F94,C94,IF(E94=F94," ",D94))</f>
        <v xml:space="preserve"> </v>
      </c>
      <c r="V105" s="1113"/>
      <c r="W105" s="1113"/>
      <c r="X105" s="1114"/>
    </row>
    <row r="106" spans="1:24" x14ac:dyDescent="0.25">
      <c r="B106" s="49">
        <v>4</v>
      </c>
      <c r="C106" s="1113" t="str">
        <f>IF(W97&lt;X97,U97,IF(W97=X97," ",V97))</f>
        <v xml:space="preserve"> </v>
      </c>
      <c r="D106" s="1113"/>
      <c r="E106" s="1113"/>
      <c r="F106" s="1113"/>
      <c r="G106" s="1113"/>
      <c r="H106" s="514">
        <v>12</v>
      </c>
      <c r="I106" s="1113" t="str">
        <f>IF(Q94&lt;R94,O94,IF(Q94=R94," ",P94))</f>
        <v xml:space="preserve"> </v>
      </c>
      <c r="J106" s="1113"/>
      <c r="K106" s="1113"/>
      <c r="L106" s="1113"/>
      <c r="M106" s="1113"/>
      <c r="N106" s="514">
        <v>20</v>
      </c>
      <c r="O106" s="1113" t="str">
        <f>IF(K97&lt;L97,I97,IF(K97=L97," ",J97))</f>
        <v xml:space="preserve"> </v>
      </c>
      <c r="P106" s="1113"/>
      <c r="Q106" s="1113"/>
      <c r="R106" s="1113"/>
      <c r="S106" s="1113"/>
      <c r="T106" s="514">
        <v>28</v>
      </c>
      <c r="U106" s="1113" t="str">
        <f>IF(E94&lt;F94,C94,IF(E94=F94," ",D94))</f>
        <v xml:space="preserve"> </v>
      </c>
      <c r="V106" s="1113"/>
      <c r="W106" s="1113"/>
      <c r="X106" s="1114"/>
    </row>
    <row r="107" spans="1:24" x14ac:dyDescent="0.25">
      <c r="B107" s="49">
        <v>5</v>
      </c>
      <c r="C107" s="1113" t="str">
        <f>IF(Q100&gt;R100,O100,IF(Q100=R100," ",P100))</f>
        <v xml:space="preserve"> </v>
      </c>
      <c r="D107" s="1113"/>
      <c r="E107" s="1113"/>
      <c r="F107" s="1113"/>
      <c r="G107" s="1113"/>
      <c r="H107" s="514">
        <v>13</v>
      </c>
      <c r="I107" s="1113" t="str">
        <f>IF(W91&gt;X91,U91,IF(W91=X91," ",V91))</f>
        <v xml:space="preserve"> </v>
      </c>
      <c r="J107" s="1113"/>
      <c r="K107" s="1113"/>
      <c r="L107" s="1113"/>
      <c r="M107" s="1113"/>
      <c r="N107" s="514">
        <v>21</v>
      </c>
      <c r="O107" s="1113" t="str">
        <f>IF(E100&gt;F100,C100,IF(E100=F100," ",D100))</f>
        <v xml:space="preserve"> </v>
      </c>
      <c r="P107" s="1113"/>
      <c r="Q107" s="1113"/>
      <c r="R107" s="1113"/>
      <c r="S107" s="1113"/>
      <c r="T107" s="514">
        <v>29</v>
      </c>
      <c r="U107" s="1113" t="str">
        <f>IF(K91&gt;L91,I91,IF(K91=L91," ",J91))</f>
        <v xml:space="preserve"> </v>
      </c>
      <c r="V107" s="1113"/>
      <c r="W107" s="1113"/>
      <c r="X107" s="1114"/>
    </row>
    <row r="108" spans="1:24" x14ac:dyDescent="0.25">
      <c r="B108" s="49">
        <v>6</v>
      </c>
      <c r="C108" s="1113" t="str">
        <f>IF(Q100&lt;R100,O100,IF(Q100=R100," ",P100))</f>
        <v xml:space="preserve"> </v>
      </c>
      <c r="D108" s="1113"/>
      <c r="E108" s="1113"/>
      <c r="F108" s="1113"/>
      <c r="G108" s="1113"/>
      <c r="H108" s="514">
        <v>14</v>
      </c>
      <c r="I108" s="1113" t="str">
        <f>IF(W91&lt;X91,U91,IF(W91=X91," ",V91))</f>
        <v xml:space="preserve"> </v>
      </c>
      <c r="J108" s="1113"/>
      <c r="K108" s="1113"/>
      <c r="L108" s="1113"/>
      <c r="M108" s="1113"/>
      <c r="N108" s="514">
        <v>22</v>
      </c>
      <c r="O108" s="1113" t="str">
        <f>IF(E100&lt;F100,C100,IF(E100=F100," ",D100))</f>
        <v xml:space="preserve"> </v>
      </c>
      <c r="P108" s="1113"/>
      <c r="Q108" s="1113"/>
      <c r="R108" s="1113"/>
      <c r="S108" s="1113"/>
      <c r="T108" s="514">
        <v>30</v>
      </c>
      <c r="U108" s="1113" t="str">
        <f>IF(K91&lt;L91,I91,IF(K91=L91," ",J91))</f>
        <v xml:space="preserve"> </v>
      </c>
      <c r="V108" s="1113"/>
      <c r="W108" s="1113"/>
      <c r="X108" s="1114"/>
    </row>
    <row r="109" spans="1:24" x14ac:dyDescent="0.25">
      <c r="B109" s="49">
        <v>7</v>
      </c>
      <c r="C109" s="1113" t="str">
        <f>IF(Q97&gt;R97,O97,IF(Q97=R97," ",P97))</f>
        <v xml:space="preserve"> </v>
      </c>
      <c r="D109" s="1113"/>
      <c r="E109" s="1113"/>
      <c r="F109" s="1113"/>
      <c r="G109" s="1113"/>
      <c r="H109" s="514">
        <v>15</v>
      </c>
      <c r="I109" s="1113" t="str">
        <f>IF(Q91&gt;R91,O91,IF(Q91=R91," ",P91))</f>
        <v xml:space="preserve"> </v>
      </c>
      <c r="J109" s="1113"/>
      <c r="K109" s="1113"/>
      <c r="L109" s="1113"/>
      <c r="M109" s="1113"/>
      <c r="N109" s="514">
        <v>23</v>
      </c>
      <c r="O109" s="1113" t="str">
        <f>IF(E97&gt;F97,C97,IF(E97=F97," ",D97))</f>
        <v xml:space="preserve"> </v>
      </c>
      <c r="P109" s="1113"/>
      <c r="Q109" s="1113"/>
      <c r="R109" s="1113"/>
      <c r="S109" s="1113"/>
      <c r="T109" s="514">
        <v>31</v>
      </c>
      <c r="U109" s="1113" t="str">
        <f>IF(E91&gt;F91,C91,IF(E91=F91," ",D91))</f>
        <v xml:space="preserve"> </v>
      </c>
      <c r="V109" s="1113"/>
      <c r="W109" s="1113"/>
      <c r="X109" s="1114"/>
    </row>
    <row r="110" spans="1:24" ht="15.75" thickBot="1" x14ac:dyDescent="0.3">
      <c r="B110" s="50">
        <v>8</v>
      </c>
      <c r="C110" s="1115" t="str">
        <f>IF(Q97&lt;R97,O97,IF(Q97=R97," ",P97))</f>
        <v xml:space="preserve"> </v>
      </c>
      <c r="D110" s="1115"/>
      <c r="E110" s="1115"/>
      <c r="F110" s="1115"/>
      <c r="G110" s="1115"/>
      <c r="H110" s="515">
        <v>16</v>
      </c>
      <c r="I110" s="1115" t="str">
        <f>IF(Q91&lt;R91,O91,IF(Q91=R91," ",P91))</f>
        <v xml:space="preserve"> </v>
      </c>
      <c r="J110" s="1115"/>
      <c r="K110" s="1115"/>
      <c r="L110" s="1115"/>
      <c r="M110" s="1115"/>
      <c r="N110" s="515">
        <v>24</v>
      </c>
      <c r="O110" s="1115" t="str">
        <f>IF(E97&lt;F97,C97,IF(E97=F97," ",D97))</f>
        <v xml:space="preserve"> </v>
      </c>
      <c r="P110" s="1115"/>
      <c r="Q110" s="1115"/>
      <c r="R110" s="1115"/>
      <c r="S110" s="1115"/>
      <c r="T110" s="515">
        <v>32</v>
      </c>
      <c r="U110" s="1115" t="str">
        <f>IF(E91&lt;F91,C91,IF(E91=F91," ",D91))</f>
        <v xml:space="preserve"> </v>
      </c>
      <c r="V110" s="1115"/>
      <c r="W110" s="1115"/>
      <c r="X110" s="1116"/>
    </row>
    <row r="111" spans="1:24" ht="15.75" thickBot="1" x14ac:dyDescent="0.3">
      <c r="B111" s="768" t="s">
        <v>34</v>
      </c>
      <c r="C111" s="675"/>
      <c r="D111" s="675"/>
      <c r="E111" s="675"/>
      <c r="F111" s="675"/>
      <c r="G111" s="675"/>
      <c r="H111" s="675"/>
      <c r="I111" s="675"/>
      <c r="J111" s="675"/>
      <c r="K111" s="675"/>
      <c r="L111" s="675"/>
      <c r="M111" s="675"/>
      <c r="N111" s="675"/>
      <c r="O111" s="675"/>
      <c r="P111" s="675"/>
      <c r="Q111" s="675"/>
      <c r="R111" s="675"/>
      <c r="S111" s="675"/>
      <c r="T111" s="675"/>
      <c r="U111" s="769"/>
      <c r="V111" s="769"/>
      <c r="W111" s="769"/>
      <c r="X111" s="770"/>
    </row>
    <row r="112" spans="1:24" x14ac:dyDescent="0.25">
      <c r="B112" s="771" t="s">
        <v>319</v>
      </c>
      <c r="C112" s="771"/>
      <c r="D112" s="771"/>
      <c r="E112" s="771"/>
      <c r="F112" s="771"/>
      <c r="G112" s="771"/>
      <c r="H112" s="771"/>
      <c r="I112" s="771"/>
      <c r="J112" s="771"/>
      <c r="K112" s="771"/>
      <c r="L112" s="771"/>
      <c r="M112" s="771"/>
      <c r="N112" s="771"/>
      <c r="O112" s="771"/>
      <c r="P112" s="771"/>
      <c r="Q112" s="771"/>
      <c r="R112" s="771"/>
      <c r="S112" s="771"/>
      <c r="T112" s="771"/>
      <c r="U112" s="771"/>
      <c r="V112" s="771"/>
      <c r="W112" s="771"/>
      <c r="X112" s="771"/>
    </row>
    <row r="113" spans="2:24" ht="15.75" hidden="1" thickBot="1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2:24" ht="16.5" hidden="1" thickBot="1" x14ac:dyDescent="0.3">
      <c r="B114" s="670" t="s">
        <v>49</v>
      </c>
      <c r="C114" s="671"/>
      <c r="D114" s="671"/>
      <c r="E114" s="671"/>
      <c r="F114" s="671"/>
      <c r="G114" s="671"/>
      <c r="H114" s="671"/>
      <c r="I114" s="671"/>
      <c r="J114" s="671"/>
      <c r="K114" s="671"/>
      <c r="L114" s="671"/>
      <c r="M114" s="671"/>
      <c r="N114" s="671"/>
      <c r="O114" s="671"/>
      <c r="P114" s="671"/>
      <c r="Q114" s="671"/>
      <c r="R114" s="671"/>
      <c r="S114" s="671"/>
      <c r="T114" s="671"/>
      <c r="U114" s="671"/>
      <c r="V114" s="671"/>
      <c r="W114" s="671"/>
      <c r="X114" s="672"/>
    </row>
    <row r="115" spans="2:24" hidden="1" x14ac:dyDescent="0.25">
      <c r="B115" s="96"/>
      <c r="C115" s="711" t="s">
        <v>1</v>
      </c>
      <c r="D115" s="711"/>
      <c r="E115" s="711" t="s">
        <v>15</v>
      </c>
      <c r="F115" s="772"/>
      <c r="G115" s="773"/>
      <c r="H115" s="121"/>
      <c r="I115" s="711" t="s">
        <v>2</v>
      </c>
      <c r="J115" s="711"/>
      <c r="K115" s="711" t="s">
        <v>15</v>
      </c>
      <c r="L115" s="772"/>
      <c r="M115" s="75"/>
      <c r="N115" s="121"/>
      <c r="O115" s="711" t="s">
        <v>3</v>
      </c>
      <c r="P115" s="711"/>
      <c r="Q115" s="711" t="s">
        <v>15</v>
      </c>
      <c r="R115" s="772"/>
      <c r="S115" s="122"/>
      <c r="T115" s="96"/>
      <c r="U115" s="711" t="s">
        <v>4</v>
      </c>
      <c r="V115" s="711"/>
      <c r="W115" s="711" t="s">
        <v>15</v>
      </c>
      <c r="X115" s="712"/>
    </row>
    <row r="116" spans="2:24" hidden="1" x14ac:dyDescent="0.25">
      <c r="B116" s="86">
        <f>RANK(E116,$E$116:$E$119)</f>
        <v>1</v>
      </c>
      <c r="C116" s="69" t="str">
        <f>C9</f>
        <v>Equipe 1</v>
      </c>
      <c r="D116" s="69">
        <f>E15-F15+E19-F19+E23-F23</f>
        <v>0</v>
      </c>
      <c r="E116" s="681">
        <f>E9+4/10000000</f>
        <v>3.9999999999999998E-7</v>
      </c>
      <c r="F116" s="767"/>
      <c r="G116" s="774"/>
      <c r="H116" s="91">
        <f>RANK(K116,$K$116:$K$119)</f>
        <v>1</v>
      </c>
      <c r="I116" s="69" t="str">
        <f>I9</f>
        <v>Equipe 5</v>
      </c>
      <c r="J116" s="69">
        <f>K15-L15+K19-L19+K23-L23</f>
        <v>0</v>
      </c>
      <c r="K116" s="681">
        <f>K9+4/10000000</f>
        <v>3.9999999999999998E-7</v>
      </c>
      <c r="L116" s="767"/>
      <c r="M116" s="76"/>
      <c r="N116" s="91">
        <f>RANK(Q116,$Q$116:$Q$119)</f>
        <v>1</v>
      </c>
      <c r="O116" s="69" t="str">
        <f>O9</f>
        <v>Equipe 9</v>
      </c>
      <c r="P116" s="69">
        <f>Q15-R15+Q19-R19+Q23-R23</f>
        <v>0</v>
      </c>
      <c r="Q116" s="681">
        <f>Q9+4/10000000</f>
        <v>3.9999999999999998E-7</v>
      </c>
      <c r="R116" s="767"/>
      <c r="S116" s="105"/>
      <c r="T116" s="86">
        <f>RANK(W116,$W$116:$W$119)</f>
        <v>1</v>
      </c>
      <c r="U116" s="69" t="str">
        <f>U9</f>
        <v>Equipe 13</v>
      </c>
      <c r="V116" s="69">
        <f>W15-X15+W19-X19+W23-X23</f>
        <v>0</v>
      </c>
      <c r="W116" s="681">
        <f>W9+4/10000000</f>
        <v>3.9999999999999998E-7</v>
      </c>
      <c r="X116" s="682"/>
    </row>
    <row r="117" spans="2:24" hidden="1" x14ac:dyDescent="0.25">
      <c r="B117" s="86">
        <f t="shared" ref="B117:B119" si="0">RANK(E117,$E$116:$E$119)</f>
        <v>2</v>
      </c>
      <c r="C117" s="69" t="str">
        <f>C10</f>
        <v>Equipe 2</v>
      </c>
      <c r="D117" s="69">
        <f>F15-E15+E20-F20+E24-F24</f>
        <v>0</v>
      </c>
      <c r="E117" s="681">
        <f>E10+3/10000000</f>
        <v>2.9999999999999999E-7</v>
      </c>
      <c r="F117" s="767"/>
      <c r="G117" s="774"/>
      <c r="H117" s="91">
        <f t="shared" ref="H117:H119" si="1">RANK(K117,$K$116:$K$119)</f>
        <v>2</v>
      </c>
      <c r="I117" s="69" t="str">
        <f>I10</f>
        <v>Equipe 6</v>
      </c>
      <c r="J117" s="69">
        <f>L15-K15+K20-L20+K24-L24</f>
        <v>0</v>
      </c>
      <c r="K117" s="681">
        <f>K10+3/10000000</f>
        <v>2.9999999999999999E-7</v>
      </c>
      <c r="L117" s="767"/>
      <c r="M117" s="76"/>
      <c r="N117" s="91">
        <f t="shared" ref="N117:N119" si="2">RANK(Q117,$Q$116:$Q$119)</f>
        <v>2</v>
      </c>
      <c r="O117" s="69" t="str">
        <f>O10</f>
        <v>Equipe 10</v>
      </c>
      <c r="P117" s="69">
        <f>R15-Q15+Q20-R20+Q24-R24</f>
        <v>0</v>
      </c>
      <c r="Q117" s="681">
        <f>Q10+3/10000000</f>
        <v>2.9999999999999999E-7</v>
      </c>
      <c r="R117" s="767"/>
      <c r="S117" s="105"/>
      <c r="T117" s="86">
        <f t="shared" ref="T117:T119" si="3">RANK(W117,$W$116:$W$119)</f>
        <v>2</v>
      </c>
      <c r="U117" s="69" t="str">
        <f>U10</f>
        <v>Equipe 14</v>
      </c>
      <c r="V117" s="69">
        <f>X15-W15+W20-X20+W24-X24</f>
        <v>0</v>
      </c>
      <c r="W117" s="681">
        <f>W10+3/10000000</f>
        <v>2.9999999999999999E-7</v>
      </c>
      <c r="X117" s="682"/>
    </row>
    <row r="118" spans="2:24" hidden="1" x14ac:dyDescent="0.25">
      <c r="B118" s="86">
        <f t="shared" si="0"/>
        <v>3</v>
      </c>
      <c r="C118" s="69" t="str">
        <f>C11</f>
        <v>Equipe 3</v>
      </c>
      <c r="D118" s="69">
        <f>E16-F16+F19-E19+F24-E24</f>
        <v>0</v>
      </c>
      <c r="E118" s="681">
        <f>E11+2/10000000</f>
        <v>1.9999999999999999E-7</v>
      </c>
      <c r="F118" s="767"/>
      <c r="G118" s="774"/>
      <c r="H118" s="91">
        <f t="shared" si="1"/>
        <v>3</v>
      </c>
      <c r="I118" s="69" t="str">
        <f>I11</f>
        <v>Equipe 7</v>
      </c>
      <c r="J118" s="69">
        <f>K16-L16+L19-K19+L24-K24</f>
        <v>0</v>
      </c>
      <c r="K118" s="681">
        <f>K11+2/10000000</f>
        <v>1.9999999999999999E-7</v>
      </c>
      <c r="L118" s="767"/>
      <c r="M118" s="76"/>
      <c r="N118" s="91">
        <f t="shared" si="2"/>
        <v>3</v>
      </c>
      <c r="O118" s="69" t="str">
        <f>O11</f>
        <v>Equipe 11</v>
      </c>
      <c r="P118" s="69">
        <f>Q16-R16+R19-Q19+R24-Q24</f>
        <v>0</v>
      </c>
      <c r="Q118" s="681">
        <f>Q11+2/10000000</f>
        <v>1.9999999999999999E-7</v>
      </c>
      <c r="R118" s="767"/>
      <c r="S118" s="105"/>
      <c r="T118" s="86">
        <f t="shared" si="3"/>
        <v>3</v>
      </c>
      <c r="U118" s="69" t="str">
        <f>U11</f>
        <v>Equipe 15</v>
      </c>
      <c r="V118" s="69">
        <f>W16-X16+X19-W19+X24-W24</f>
        <v>0</v>
      </c>
      <c r="W118" s="681">
        <f>W11+2/10000000</f>
        <v>1.9999999999999999E-7</v>
      </c>
      <c r="X118" s="682"/>
    </row>
    <row r="119" spans="2:24" ht="15.75" hidden="1" thickBot="1" x14ac:dyDescent="0.3">
      <c r="B119" s="87">
        <f t="shared" si="0"/>
        <v>4</v>
      </c>
      <c r="C119" s="88" t="str">
        <f>C12</f>
        <v>Equipe 4</v>
      </c>
      <c r="D119" s="88">
        <f>F16-E16+F20-E20+F23-E23</f>
        <v>0</v>
      </c>
      <c r="E119" s="709">
        <f>E12+1/10000000</f>
        <v>9.9999999999999995E-8</v>
      </c>
      <c r="F119" s="761"/>
      <c r="G119" s="775"/>
      <c r="H119" s="92">
        <f t="shared" si="1"/>
        <v>4</v>
      </c>
      <c r="I119" s="88" t="str">
        <f>I12</f>
        <v>Equipe 8</v>
      </c>
      <c r="J119" s="88">
        <f>L16-K16+L20-K20+L23-K23</f>
        <v>0</v>
      </c>
      <c r="K119" s="709">
        <f>K12+1/10000000</f>
        <v>9.9999999999999995E-8</v>
      </c>
      <c r="L119" s="761"/>
      <c r="M119" s="78"/>
      <c r="N119" s="92">
        <f t="shared" si="2"/>
        <v>4</v>
      </c>
      <c r="O119" s="88" t="str">
        <f>O12</f>
        <v>Equipe 12</v>
      </c>
      <c r="P119" s="88">
        <f>R16-Q16+R20-Q20+R23-Q23</f>
        <v>0</v>
      </c>
      <c r="Q119" s="709">
        <f>Q12+1/10000000</f>
        <v>9.9999999999999995E-8</v>
      </c>
      <c r="R119" s="761"/>
      <c r="S119" s="123"/>
      <c r="T119" s="87">
        <f t="shared" si="3"/>
        <v>4</v>
      </c>
      <c r="U119" s="88" t="str">
        <f>U12</f>
        <v>Equipe 16</v>
      </c>
      <c r="V119" s="88">
        <f>X16-W16+X20-W20+X23-W23</f>
        <v>0</v>
      </c>
      <c r="W119" s="709">
        <f>W12+1/10000000</f>
        <v>9.9999999999999995E-8</v>
      </c>
      <c r="X119" s="710"/>
    </row>
    <row r="120" spans="2:24" hidden="1" x14ac:dyDescent="0.25">
      <c r="B120" s="700"/>
      <c r="C120" s="700"/>
      <c r="D120" s="700"/>
      <c r="E120" s="700"/>
      <c r="F120" s="700"/>
      <c r="G120" s="700"/>
      <c r="H120" s="700"/>
      <c r="I120" s="700"/>
      <c r="J120" s="700"/>
      <c r="K120" s="700"/>
      <c r="L120" s="700"/>
      <c r="M120" s="700"/>
      <c r="N120" s="700"/>
      <c r="O120" s="700"/>
      <c r="P120" s="700"/>
      <c r="Q120" s="700"/>
      <c r="R120" s="700"/>
    </row>
    <row r="121" spans="2:24" hidden="1" x14ac:dyDescent="0.25">
      <c r="B121" s="1">
        <f>IF(E15="",0,(IF(E15&gt;F15,3,IF(E15=F15,1,0))))</f>
        <v>0</v>
      </c>
      <c r="C121" s="1">
        <f>IF(F15="",0,(IF(F15&gt;E15,3,IF(F15=E15,1,0))))</f>
        <v>0</v>
      </c>
      <c r="H121" s="1">
        <f>IF(K15="",0,(IF(K15&gt;L15,3,IF(K15=L15,1,0))))</f>
        <v>0</v>
      </c>
      <c r="I121" s="1">
        <f>IF(L15="",0,(IF(L15&gt;K15,3,IF(L15=K15,1,0))))</f>
        <v>0</v>
      </c>
      <c r="N121" s="1">
        <f>IF(Q15="",0,(IF(Q15&gt;R15,3,IF(Q15=R15,1,0))))</f>
        <v>0</v>
      </c>
      <c r="O121" s="1">
        <f>IF(R15="",0,(IF(R15&gt;Q15,3,IF(R15=Q15,1,0))))</f>
        <v>0</v>
      </c>
      <c r="T121" s="1">
        <f>IF(W15="",0,(IF(W15&gt;X15,3,IF(W15=X15,1,0))))</f>
        <v>0</v>
      </c>
      <c r="U121" s="1">
        <f>IF(X15="",0,(IF(X15&gt;W15,3,IF(X15=W15,1,0))))</f>
        <v>0</v>
      </c>
    </row>
    <row r="122" spans="2:24" hidden="1" x14ac:dyDescent="0.25">
      <c r="B122" s="1">
        <f>IF(E16="",0,(IF(E16&gt;F16,3,IF(E16=F16,1,0))))</f>
        <v>0</v>
      </c>
      <c r="C122" s="1">
        <f>IF(F16="",0,(IF(F16&gt;E16,3,IF(F16=E16,1,0))))</f>
        <v>0</v>
      </c>
      <c r="H122" s="1">
        <f>IF(K16="",0,(IF(K16&gt;L16,3,IF(K16=L16,1,0))))</f>
        <v>0</v>
      </c>
      <c r="I122" s="1">
        <f>IF(L16="",0,(IF(L16&gt;K16,3,IF(L16=K16,1,0))))</f>
        <v>0</v>
      </c>
      <c r="N122" s="1">
        <f>IF(Q16="",0,(IF(Q16&gt;R16,3,IF(Q16=R16,1,0))))</f>
        <v>0</v>
      </c>
      <c r="O122" s="1">
        <f>IF(R16="",0,(IF(R16&gt;Q16,3,IF(R16=Q16,1,0))))</f>
        <v>0</v>
      </c>
      <c r="T122" s="1">
        <f>IF(W16="",0,(IF(W16&gt;X16,3,IF(W16=X16,1,0))))</f>
        <v>0</v>
      </c>
      <c r="U122" s="1">
        <f>IF(X16="",0,(IF(X16&gt;W16,3,IF(X16=W16,1,0))))</f>
        <v>0</v>
      </c>
    </row>
    <row r="123" spans="2:24" hidden="1" x14ac:dyDescent="0.25"/>
    <row r="124" spans="2:24" hidden="1" x14ac:dyDescent="0.25"/>
    <row r="125" spans="2:24" hidden="1" x14ac:dyDescent="0.25">
      <c r="B125" s="1">
        <f>IF(E19="",0,(IF(E19&gt;F19,3,IF(E19=F19,1,0))))</f>
        <v>0</v>
      </c>
      <c r="C125" s="1">
        <f>IF(F19="",0,(IF(F19&gt;E19,3,IF(F19=E19,1,0))))</f>
        <v>0</v>
      </c>
      <c r="H125" s="1">
        <f>IF(K19="",0,(IF(K19&gt;L19,3,IF(K19=L19,1,0))))</f>
        <v>0</v>
      </c>
      <c r="I125" s="1">
        <f>IF(L19="",0,(IF(L19&gt;K19,3,IF(L19=K19,1,0))))</f>
        <v>0</v>
      </c>
      <c r="N125" s="1">
        <f>IF(Q19="",0,(IF(Q19&gt;R19,3,IF(Q19=R19,1,0))))</f>
        <v>0</v>
      </c>
      <c r="O125" s="1">
        <f>IF(R19="",0,(IF(R19&gt;Q19,3,IF(R19=Q19,1,0))))</f>
        <v>0</v>
      </c>
      <c r="T125" s="1">
        <f>IF(W19="",0,(IF(W19&gt;X19,3,IF(W19=X19,1,0))))</f>
        <v>0</v>
      </c>
      <c r="U125" s="1">
        <f>IF(X19="",0,(IF(X19&gt;W19,3,IF(X19=W19,1,0))))</f>
        <v>0</v>
      </c>
    </row>
    <row r="126" spans="2:24" hidden="1" x14ac:dyDescent="0.25">
      <c r="B126" s="1">
        <f>IF(E20="",0,(IF(E20&gt;F20,3,IF(E20=F20,1,0))))</f>
        <v>0</v>
      </c>
      <c r="C126" s="1">
        <f>IF(F20="",0,(IF(F20&gt;E20,3,IF(F20=E20,1,0))))</f>
        <v>0</v>
      </c>
      <c r="H126" s="1">
        <f>IF(K20="",0,(IF(K20&gt;L20,3,IF(K20=L20,1,0))))</f>
        <v>0</v>
      </c>
      <c r="I126" s="1">
        <f>IF(L20="",0,(IF(L20&gt;K20,3,IF(L20=K20,1,0))))</f>
        <v>0</v>
      </c>
      <c r="N126" s="1">
        <f>IF(Q20="",0,(IF(Q20&gt;R20,3,IF(Q20=R20,1,0))))</f>
        <v>0</v>
      </c>
      <c r="O126" s="1">
        <f>IF(R20="",0,(IF(R20&gt;Q20,3,IF(R20=Q20,1,0))))</f>
        <v>0</v>
      </c>
      <c r="T126" s="1">
        <f>IF(W20="",0,(IF(W20&gt;X20,3,IF(W20=X20,1,0))))</f>
        <v>0</v>
      </c>
      <c r="U126" s="1">
        <f>IF(X20="",0,(IF(X20&gt;W20,3,IF(X20=W20,1,0))))</f>
        <v>0</v>
      </c>
    </row>
    <row r="127" spans="2:24" hidden="1" x14ac:dyDescent="0.25"/>
    <row r="128" spans="2:24" hidden="1" x14ac:dyDescent="0.25"/>
    <row r="129" spans="2:24" hidden="1" x14ac:dyDescent="0.25">
      <c r="B129" s="1">
        <f>IF(E23="",0,(IF(E23&gt;F23,3,IF(E23=F23,1,0))))</f>
        <v>0</v>
      </c>
      <c r="C129" s="1">
        <f>IF(F23="",0,(IF(F23&gt;E23,3,IF(F23=E23,1,0))))</f>
        <v>0</v>
      </c>
      <c r="H129" s="1">
        <f>IF(K23="",0,(IF(K23&gt;L23,3,IF(K23=L23,1,0))))</f>
        <v>0</v>
      </c>
      <c r="I129" s="1">
        <f>IF(L23="",0,(IF(L23&gt;K23,3,IF(L23=K23,1,0))))</f>
        <v>0</v>
      </c>
      <c r="N129" s="1">
        <f>IF(Q23="",0,(IF(Q23&gt;R23,3,IF(Q23=R23,1,0))))</f>
        <v>0</v>
      </c>
      <c r="O129" s="1">
        <f>IF(R23="",0,(IF(R23&gt;Q23,3,IF(R23=Q23,1,0))))</f>
        <v>0</v>
      </c>
      <c r="T129" s="1">
        <f>IF(W23="",0,(IF(W23&gt;X23,3,IF(W23=X23,1,0))))</f>
        <v>0</v>
      </c>
      <c r="U129" s="1">
        <f>IF(X23="",0,(IF(X23&gt;W23,3,IF(X23=W23,1,0))))</f>
        <v>0</v>
      </c>
    </row>
    <row r="130" spans="2:24" hidden="1" x14ac:dyDescent="0.25">
      <c r="B130" s="1">
        <f>IF(E24="",0,(IF(E24&gt;F24,3,IF(E24=F24,1,0))))</f>
        <v>0</v>
      </c>
      <c r="C130" s="1">
        <f>IF(F24="",0,(IF(F24&gt;E24,3,IF(F24=E24,1,0))))</f>
        <v>0</v>
      </c>
      <c r="H130" s="1">
        <f>IF(K24="",0,(IF(K24&gt;L24,3,IF(K24=L24,1,0))))</f>
        <v>0</v>
      </c>
      <c r="I130" s="1">
        <f>IF(L24="",0,(IF(L24&gt;K24,3,IF(L24=K24,1,0))))</f>
        <v>0</v>
      </c>
      <c r="N130" s="1">
        <f>IF(Q24="",0,(IF(Q24&gt;R24,3,IF(Q24=R24,1,0))))</f>
        <v>0</v>
      </c>
      <c r="O130" s="1">
        <f>IF(R24="",0,(IF(R24&gt;Q24,3,IF(R24=Q24,1,0))))</f>
        <v>0</v>
      </c>
      <c r="T130" s="1">
        <f>IF(W24="",0,(IF(W24&gt;X24,3,IF(W24=X24,1,0))))</f>
        <v>0</v>
      </c>
      <c r="U130" s="1">
        <f>IF(X24="",0,(IF(X24&gt;W24,3,IF(X24=W24,1,0))))</f>
        <v>0</v>
      </c>
    </row>
    <row r="131" spans="2:24" hidden="1" x14ac:dyDescent="0.25"/>
    <row r="132" spans="2:24" hidden="1" x14ac:dyDescent="0.25">
      <c r="B132" s="700"/>
      <c r="C132" s="700"/>
      <c r="D132" s="700"/>
      <c r="E132" s="700"/>
      <c r="F132" s="700"/>
      <c r="G132" s="700"/>
      <c r="H132" s="700"/>
      <c r="I132" s="700"/>
      <c r="J132" s="700"/>
      <c r="K132" s="700"/>
      <c r="L132" s="700"/>
      <c r="M132" s="700"/>
      <c r="N132" s="700"/>
      <c r="O132" s="700"/>
      <c r="P132" s="700"/>
      <c r="Q132" s="700"/>
      <c r="R132" s="700"/>
    </row>
    <row r="133" spans="2:24" hidden="1" x14ac:dyDescent="0.25"/>
    <row r="134" spans="2:24" hidden="1" x14ac:dyDescent="0.25"/>
    <row r="135" spans="2:24" hidden="1" x14ac:dyDescent="0.25"/>
    <row r="136" spans="2:24" hidden="1" x14ac:dyDescent="0.25"/>
    <row r="137" spans="2:24" hidden="1" x14ac:dyDescent="0.25"/>
    <row r="138" spans="2:24" hidden="1" x14ac:dyDescent="0.25"/>
    <row r="139" spans="2:24" ht="15.75" hidden="1" thickBot="1" x14ac:dyDescent="0.3"/>
    <row r="140" spans="2:24" ht="16.5" hidden="1" thickBot="1" x14ac:dyDescent="0.3">
      <c r="B140" s="670" t="s">
        <v>49</v>
      </c>
      <c r="C140" s="671"/>
      <c r="D140" s="671"/>
      <c r="E140" s="671"/>
      <c r="F140" s="671"/>
      <c r="G140" s="671"/>
      <c r="H140" s="671"/>
      <c r="I140" s="671"/>
      <c r="J140" s="671"/>
      <c r="K140" s="671"/>
      <c r="L140" s="671"/>
      <c r="M140" s="671"/>
      <c r="N140" s="671"/>
      <c r="O140" s="671"/>
      <c r="P140" s="671"/>
      <c r="Q140" s="671"/>
      <c r="R140" s="671"/>
      <c r="S140" s="671"/>
      <c r="T140" s="671"/>
      <c r="U140" s="671"/>
      <c r="V140" s="671"/>
      <c r="W140" s="671"/>
      <c r="X140" s="672"/>
    </row>
    <row r="141" spans="2:24" hidden="1" x14ac:dyDescent="0.25">
      <c r="B141" s="96"/>
      <c r="C141" s="711" t="s">
        <v>1</v>
      </c>
      <c r="D141" s="711"/>
      <c r="E141" s="711" t="s">
        <v>15</v>
      </c>
      <c r="F141" s="772"/>
      <c r="G141" s="773"/>
      <c r="H141" s="121"/>
      <c r="I141" s="711" t="s">
        <v>2</v>
      </c>
      <c r="J141" s="711"/>
      <c r="K141" s="711" t="s">
        <v>15</v>
      </c>
      <c r="L141" s="772"/>
      <c r="M141" s="75"/>
      <c r="N141" s="121"/>
      <c r="O141" s="711" t="s">
        <v>3</v>
      </c>
      <c r="P141" s="711"/>
      <c r="Q141" s="711" t="s">
        <v>15</v>
      </c>
      <c r="R141" s="772"/>
      <c r="S141" s="122"/>
      <c r="T141" s="96"/>
      <c r="U141" s="711" t="s">
        <v>4</v>
      </c>
      <c r="V141" s="711"/>
      <c r="W141" s="711" t="s">
        <v>15</v>
      </c>
      <c r="X141" s="712"/>
    </row>
    <row r="142" spans="2:24" hidden="1" x14ac:dyDescent="0.25">
      <c r="B142" s="86">
        <f>RANK(E142,$E$142:$F$145)</f>
        <v>1</v>
      </c>
      <c r="C142" s="69" t="str">
        <f>C35</f>
        <v>Equipe 17</v>
      </c>
      <c r="D142" s="69">
        <f>E41-F41+E45-F45+E49-F49</f>
        <v>0</v>
      </c>
      <c r="E142" s="681">
        <f>E35+4/10000000</f>
        <v>3.9999999999999998E-7</v>
      </c>
      <c r="F142" s="767"/>
      <c r="G142" s="774"/>
      <c r="H142" s="91">
        <f>RANK(K142,$K$142:$K$145)</f>
        <v>1</v>
      </c>
      <c r="I142" s="69" t="str">
        <f>I35</f>
        <v>Equipe 21</v>
      </c>
      <c r="J142" s="69">
        <f>K41-L41+K45-L45+K49-L49</f>
        <v>0</v>
      </c>
      <c r="K142" s="681">
        <f>K35+4/10000000</f>
        <v>3.9999999999999998E-7</v>
      </c>
      <c r="L142" s="767"/>
      <c r="M142" s="76"/>
      <c r="N142" s="91">
        <f>RANK(Q142,$Q$142:$Q$145)</f>
        <v>1</v>
      </c>
      <c r="O142" s="69" t="str">
        <f>O35</f>
        <v>Equipe 25</v>
      </c>
      <c r="P142" s="69">
        <f>Q41-R41+Q45-R45+Q49-R49</f>
        <v>0</v>
      </c>
      <c r="Q142" s="681">
        <f>Q35+4/10000000</f>
        <v>3.9999999999999998E-7</v>
      </c>
      <c r="R142" s="767"/>
      <c r="S142" s="105"/>
      <c r="T142" s="86">
        <f>RANK(W142,$W$142:$W$145)</f>
        <v>1</v>
      </c>
      <c r="U142" s="69" t="str">
        <f>U35</f>
        <v>Equipe 29</v>
      </c>
      <c r="V142" s="69">
        <f>W41-X41+W45-X45+W49-X49</f>
        <v>0</v>
      </c>
      <c r="W142" s="681">
        <f>W35+4/10000000</f>
        <v>3.9999999999999998E-7</v>
      </c>
      <c r="X142" s="682"/>
    </row>
    <row r="143" spans="2:24" hidden="1" x14ac:dyDescent="0.25">
      <c r="B143" s="86">
        <f t="shared" ref="B143:B145" si="4">RANK(E143,$E$142:$F$145)</f>
        <v>2</v>
      </c>
      <c r="C143" s="69" t="str">
        <f>C36</f>
        <v>Equipe 18</v>
      </c>
      <c r="D143" s="69">
        <f>F41-E41+E46-F46+E50-F50</f>
        <v>0</v>
      </c>
      <c r="E143" s="681">
        <f>E36+3/10000000</f>
        <v>2.9999999999999999E-7</v>
      </c>
      <c r="F143" s="767"/>
      <c r="G143" s="774"/>
      <c r="H143" s="91">
        <f t="shared" ref="H143:H145" si="5">RANK(K143,$K$142:$K$145)</f>
        <v>2</v>
      </c>
      <c r="I143" s="69" t="str">
        <f>I36</f>
        <v>Equipe 22</v>
      </c>
      <c r="J143" s="69">
        <f>L41-K41+K46-L46+K50-L50</f>
        <v>0</v>
      </c>
      <c r="K143" s="681">
        <f>K36+3/10000000</f>
        <v>2.9999999999999999E-7</v>
      </c>
      <c r="L143" s="767"/>
      <c r="M143" s="76"/>
      <c r="N143" s="91">
        <f t="shared" ref="N143:N145" si="6">RANK(Q143,$Q$142:$Q$145)</f>
        <v>2</v>
      </c>
      <c r="O143" s="69" t="str">
        <f>O36</f>
        <v>Equipe 26</v>
      </c>
      <c r="P143" s="69">
        <f>R41-Q41+Q46-R46+Q50-R50</f>
        <v>0</v>
      </c>
      <c r="Q143" s="681">
        <f>Q36+3/10000000</f>
        <v>2.9999999999999999E-7</v>
      </c>
      <c r="R143" s="767"/>
      <c r="S143" s="105"/>
      <c r="T143" s="86">
        <f t="shared" ref="T143:T145" si="7">RANK(W143,$W$142:$W$145)</f>
        <v>2</v>
      </c>
      <c r="U143" s="69" t="str">
        <f>U36</f>
        <v>Equipe 30</v>
      </c>
      <c r="V143" s="69">
        <f>X41-W41+W46-X46+W50-X50</f>
        <v>0</v>
      </c>
      <c r="W143" s="681">
        <f>W36+3/10000000</f>
        <v>2.9999999999999999E-7</v>
      </c>
      <c r="X143" s="682"/>
    </row>
    <row r="144" spans="2:24" hidden="1" x14ac:dyDescent="0.25">
      <c r="B144" s="86">
        <f t="shared" si="4"/>
        <v>3</v>
      </c>
      <c r="C144" s="69" t="str">
        <f>C37</f>
        <v>Equipe 19</v>
      </c>
      <c r="D144" s="69">
        <f>E42-F42+F45-E45+F50-E50</f>
        <v>0</v>
      </c>
      <c r="E144" s="681">
        <f>E37+2/10000000</f>
        <v>1.9999999999999999E-7</v>
      </c>
      <c r="F144" s="767"/>
      <c r="G144" s="774"/>
      <c r="H144" s="91">
        <f t="shared" si="5"/>
        <v>3</v>
      </c>
      <c r="I144" s="69" t="str">
        <f>I37</f>
        <v>Equipe 23</v>
      </c>
      <c r="J144" s="69">
        <f>K42-L42+L45-K45+L50-K50</f>
        <v>0</v>
      </c>
      <c r="K144" s="681">
        <f>K37+2/10000000</f>
        <v>1.9999999999999999E-7</v>
      </c>
      <c r="L144" s="767"/>
      <c r="M144" s="76"/>
      <c r="N144" s="91">
        <f t="shared" si="6"/>
        <v>3</v>
      </c>
      <c r="O144" s="69" t="str">
        <f>O37</f>
        <v>Equipe 27</v>
      </c>
      <c r="P144" s="69">
        <f>Q42-R42+R45-Q45+R50-Q50</f>
        <v>0</v>
      </c>
      <c r="Q144" s="681">
        <f>Q37+2/10000000</f>
        <v>1.9999999999999999E-7</v>
      </c>
      <c r="R144" s="767"/>
      <c r="S144" s="105"/>
      <c r="T144" s="86">
        <f t="shared" si="7"/>
        <v>3</v>
      </c>
      <c r="U144" s="69" t="str">
        <f>U37</f>
        <v>Equipe 31</v>
      </c>
      <c r="V144" s="69">
        <f>W42-X42+X45-W45+X50-W50</f>
        <v>0</v>
      </c>
      <c r="W144" s="681">
        <f>W37+2/10000000</f>
        <v>1.9999999999999999E-7</v>
      </c>
      <c r="X144" s="682"/>
    </row>
    <row r="145" spans="2:24" ht="15.75" hidden="1" thickBot="1" x14ac:dyDescent="0.3">
      <c r="B145" s="86">
        <f t="shared" si="4"/>
        <v>4</v>
      </c>
      <c r="C145" s="88" t="str">
        <f>C38</f>
        <v>Equipe 20</v>
      </c>
      <c r="D145" s="88">
        <f>F42-E42+F46-E46+F49-E49</f>
        <v>0</v>
      </c>
      <c r="E145" s="709">
        <f>E38+1/10000000</f>
        <v>9.9999999999999995E-8</v>
      </c>
      <c r="F145" s="761"/>
      <c r="G145" s="775"/>
      <c r="H145" s="91">
        <f t="shared" si="5"/>
        <v>4</v>
      </c>
      <c r="I145" s="88" t="str">
        <f>I38</f>
        <v>Equipe 24</v>
      </c>
      <c r="J145" s="88">
        <f>L42-K42+L46-K46+L49-K49</f>
        <v>0</v>
      </c>
      <c r="K145" s="709">
        <f>K38+1/10000000</f>
        <v>9.9999999999999995E-8</v>
      </c>
      <c r="L145" s="761"/>
      <c r="M145" s="78"/>
      <c r="N145" s="91">
        <f t="shared" si="6"/>
        <v>4</v>
      </c>
      <c r="O145" s="88" t="str">
        <f>O38</f>
        <v>Equipe 28</v>
      </c>
      <c r="P145" s="88">
        <f>R42-Q42+R46-Q46+R49-Q49</f>
        <v>0</v>
      </c>
      <c r="Q145" s="709">
        <f>Q38+1/10000000</f>
        <v>9.9999999999999995E-8</v>
      </c>
      <c r="R145" s="761"/>
      <c r="S145" s="123"/>
      <c r="T145" s="86">
        <f t="shared" si="7"/>
        <v>4</v>
      </c>
      <c r="U145" s="88" t="str">
        <f>U38</f>
        <v>Equipe 32</v>
      </c>
      <c r="V145" s="88">
        <f>X42-W42+X46-W46+X49-W49</f>
        <v>0</v>
      </c>
      <c r="W145" s="709">
        <f>W38+1/10000000</f>
        <v>9.9999999999999995E-8</v>
      </c>
      <c r="X145" s="710"/>
    </row>
    <row r="146" spans="2:24" hidden="1" x14ac:dyDescent="0.25">
      <c r="B146" s="700"/>
      <c r="C146" s="700"/>
      <c r="D146" s="700"/>
      <c r="E146" s="700"/>
      <c r="F146" s="700"/>
      <c r="G146" s="700"/>
      <c r="H146" s="700"/>
      <c r="I146" s="700"/>
      <c r="J146" s="700"/>
      <c r="K146" s="700"/>
      <c r="L146" s="700"/>
      <c r="M146" s="700"/>
      <c r="N146" s="700"/>
      <c r="O146" s="700"/>
      <c r="P146" s="700"/>
      <c r="Q146" s="700"/>
      <c r="R146" s="700"/>
    </row>
    <row r="147" spans="2:24" hidden="1" x14ac:dyDescent="0.25">
      <c r="B147" s="1">
        <f>IF(E41="",0,(IF(E41&gt;F41,3,IF(E41=F41,1,0))))</f>
        <v>0</v>
      </c>
      <c r="C147" s="1">
        <f>IF(F41="",0,(IF(F41&gt;E41,3,IF(F41=E41,1,0))))</f>
        <v>0</v>
      </c>
      <c r="H147" s="1">
        <f>IF(K41="",0,(IF(K41&gt;L41,3,IF(K41=L41,1,0))))</f>
        <v>0</v>
      </c>
      <c r="I147" s="1">
        <f>IF(L41="",0,(IF(L41&gt;K41,3,IF(L41=K41,1,0))))</f>
        <v>0</v>
      </c>
      <c r="N147" s="1">
        <f>IF(Q41="",0,(IF(Q41&gt;R41,3,IF(Q41=R41,1,0))))</f>
        <v>0</v>
      </c>
      <c r="O147" s="1">
        <f>IF(R41="",0,(IF(R41&gt;Q41,3,IF(R41=Q41,1,0))))</f>
        <v>0</v>
      </c>
      <c r="T147" s="1">
        <f>IF(W41="",0,(IF(W41&gt;X41,3,IF(W41=X41,1,0))))</f>
        <v>0</v>
      </c>
      <c r="U147" s="1">
        <f>IF(X41="",0,(IF(X41&gt;W41,3,IF(X41=W41,1,0))))</f>
        <v>0</v>
      </c>
    </row>
    <row r="148" spans="2:24" hidden="1" x14ac:dyDescent="0.25">
      <c r="B148" s="1">
        <f>IF(E42="",0,(IF(E42&gt;F42,3,IF(E42=F42,1,0))))</f>
        <v>0</v>
      </c>
      <c r="C148" s="1">
        <f>IF(F42="",0,(IF(F42&gt;E42,3,IF(F42=E42,1,0))))</f>
        <v>0</v>
      </c>
      <c r="H148" s="1">
        <f>IF(K42="",0,(IF(K42&gt;L42,3,IF(K42=L42,1,0))))</f>
        <v>0</v>
      </c>
      <c r="I148" s="1">
        <f>IF(L42="",0,(IF(L42&gt;K42,3,IF(L42=K42,1,0))))</f>
        <v>0</v>
      </c>
      <c r="N148" s="1">
        <f>IF(Q42="",0,(IF(Q42&gt;R42,3,IF(Q42=R42,1,0))))</f>
        <v>0</v>
      </c>
      <c r="O148" s="1">
        <f>IF(R42="",0,(IF(R42&gt;Q42,3,IF(R42=Q42,1,0))))</f>
        <v>0</v>
      </c>
      <c r="T148" s="1">
        <f>IF(W42="",0,(IF(W42&gt;X42,3,IF(W42=X42,1,0))))</f>
        <v>0</v>
      </c>
      <c r="U148" s="1">
        <f>IF(X42="",0,(IF(X42&gt;W42,3,IF(X42=W42,1,0))))</f>
        <v>0</v>
      </c>
    </row>
    <row r="149" spans="2:24" hidden="1" x14ac:dyDescent="0.25"/>
    <row r="150" spans="2:24" hidden="1" x14ac:dyDescent="0.25"/>
    <row r="151" spans="2:24" hidden="1" x14ac:dyDescent="0.25">
      <c r="B151" s="1">
        <f>IF(E45="",0,(IF(E45&gt;F45,3,IF(E45=F45,1,0))))</f>
        <v>0</v>
      </c>
      <c r="C151" s="1">
        <f>IF(F45="",0,(IF(F45&gt;E45,3,IF(F45=E45,1,0))))</f>
        <v>0</v>
      </c>
      <c r="H151" s="1">
        <f>IF(K45="",0,(IF(K45&gt;L45,3,IF(K45=L45,1,0))))</f>
        <v>0</v>
      </c>
      <c r="I151" s="1">
        <f>IF(L45="",0,(IF(L45&gt;K45,3,IF(L45=K45,1,0))))</f>
        <v>0</v>
      </c>
      <c r="N151" s="1">
        <f>IF(Q45="",0,(IF(Q45&gt;R45,3,IF(Q45=R45,1,0))))</f>
        <v>0</v>
      </c>
      <c r="O151" s="1">
        <f>IF(R45="",0,(IF(R45&gt;Q45,3,IF(R45=Q45,1,0))))</f>
        <v>0</v>
      </c>
      <c r="T151" s="1">
        <f>IF(W45="",0,(IF(W45&gt;X45,3,IF(W45=X45,1,0))))</f>
        <v>0</v>
      </c>
      <c r="U151" s="1">
        <f>IF(X45="",0,(IF(X45&gt;W45,3,IF(X45=W45,1,0))))</f>
        <v>0</v>
      </c>
    </row>
    <row r="152" spans="2:24" hidden="1" x14ac:dyDescent="0.25">
      <c r="B152" s="1">
        <f>IF(E46="",0,(IF(E46&gt;F46,3,IF(E46=F46,1,0))))</f>
        <v>0</v>
      </c>
      <c r="C152" s="1">
        <f>IF(F46="",0,(IF(F46&gt;E46,3,IF(F46=E46,1,0))))</f>
        <v>0</v>
      </c>
      <c r="H152" s="1">
        <f>IF(K46="",0,(IF(K46&gt;L46,3,IF(K46=L46,1,0))))</f>
        <v>0</v>
      </c>
      <c r="I152" s="1">
        <f>IF(L46="",0,(IF(L46&gt;K46,3,IF(L46=K46,1,0))))</f>
        <v>0</v>
      </c>
      <c r="N152" s="1">
        <f>IF(Q46="",0,(IF(Q46&gt;R46,3,IF(Q46=R46,1,0))))</f>
        <v>0</v>
      </c>
      <c r="O152" s="1">
        <f>IF(R46="",0,(IF(R46&gt;Q46,3,IF(R46=Q46,1,0))))</f>
        <v>0</v>
      </c>
      <c r="T152" s="1">
        <f>IF(W46="",0,(IF(W46&gt;X46,3,IF(W46=X46,1,0))))</f>
        <v>0</v>
      </c>
      <c r="U152" s="1">
        <f>IF(X46="",0,(IF(X46&gt;W46,3,IF(X46=W46,1,0))))</f>
        <v>0</v>
      </c>
    </row>
    <row r="153" spans="2:24" hidden="1" x14ac:dyDescent="0.25"/>
    <row r="154" spans="2:24" hidden="1" x14ac:dyDescent="0.25"/>
    <row r="155" spans="2:24" hidden="1" x14ac:dyDescent="0.25">
      <c r="B155" s="1">
        <f>IF(E49="",0,(IF(E49&gt;F49,3,IF(E49=F49,1,0))))</f>
        <v>0</v>
      </c>
      <c r="C155" s="1">
        <f>IF(F49="",0,(IF(F49&gt;E49,3,IF(F49=E49,1,0))))</f>
        <v>0</v>
      </c>
      <c r="H155" s="1">
        <f>IF(K49="",0,(IF(K49&gt;L49,3,IF(K49=L49,1,0))))</f>
        <v>0</v>
      </c>
      <c r="I155" s="1">
        <f>IF(L49="",0,(IF(L49&gt;K49,3,IF(L49=K49,1,0))))</f>
        <v>0</v>
      </c>
      <c r="N155" s="1">
        <f>IF(Q49="",0,(IF(Q49&gt;R49,3,IF(Q49=R49,1,0))))</f>
        <v>0</v>
      </c>
      <c r="O155" s="1">
        <f>IF(R49="",0,(IF(R49&gt;Q49,3,IF(R49=Q49,1,0))))</f>
        <v>0</v>
      </c>
      <c r="T155" s="1">
        <f>IF(W49="",0,(IF(W49&gt;X49,3,IF(W49=X49,1,0))))</f>
        <v>0</v>
      </c>
      <c r="U155" s="1">
        <f>IF(X49="",0,(IF(X49&gt;W49,3,IF(X49=W49,1,0))))</f>
        <v>0</v>
      </c>
    </row>
    <row r="156" spans="2:24" hidden="1" x14ac:dyDescent="0.25">
      <c r="B156" s="1">
        <f>IF(E50="",0,(IF(E50&gt;F50,3,IF(E50=F50,1,0))))</f>
        <v>0</v>
      </c>
      <c r="C156" s="1">
        <f>IF(F50="",0,(IF(F50&gt;E50,3,IF(F50=E50,1,0))))</f>
        <v>0</v>
      </c>
      <c r="H156" s="1">
        <f>IF(K50="",0,(IF(K50&gt;L50,3,IF(K50=L50,1,0))))</f>
        <v>0</v>
      </c>
      <c r="I156" s="1">
        <f>IF(L50="",0,(IF(L50&gt;K50,3,IF(L50=K50,1,0))))</f>
        <v>0</v>
      </c>
      <c r="N156" s="1">
        <f>IF(Q50="",0,(IF(Q50&gt;R50,3,IF(Q50=R50,1,0))))</f>
        <v>0</v>
      </c>
      <c r="O156" s="1">
        <f>IF(R50="",0,(IF(R50&gt;Q50,3,IF(R50=Q50,1,0))))</f>
        <v>0</v>
      </c>
      <c r="T156" s="1">
        <f>IF(W50="",0,(IF(W50&gt;X50,3,IF(W50=X50,1,0))))</f>
        <v>0</v>
      </c>
      <c r="U156" s="1">
        <f>IF(X50="",0,(IF(X50&gt;W50,3,IF(X50=W50,1,0))))</f>
        <v>0</v>
      </c>
    </row>
    <row r="157" spans="2:24" hidden="1" x14ac:dyDescent="0.25"/>
    <row r="158" spans="2:24" hidden="1" x14ac:dyDescent="0.25"/>
    <row r="159" spans="2:24" hidden="1" x14ac:dyDescent="0.25"/>
    <row r="160" spans="2:24" hidden="1" x14ac:dyDescent="0.25"/>
    <row r="161" hidden="1" x14ac:dyDescent="0.25"/>
    <row r="162" hidden="1" x14ac:dyDescent="0.25"/>
  </sheetData>
  <sheetProtection sheet="1" scenarios="1" selectLockedCells="1"/>
  <mergeCells count="453">
    <mergeCell ref="I87:J87"/>
    <mergeCell ref="C87:D87"/>
    <mergeCell ref="E87:F87"/>
    <mergeCell ref="K84:L84"/>
    <mergeCell ref="E93:F93"/>
    <mergeCell ref="E99:F99"/>
    <mergeCell ref="K93:L93"/>
    <mergeCell ref="K99:L99"/>
    <mergeCell ref="B92:F92"/>
    <mergeCell ref="H92:L92"/>
    <mergeCell ref="H98:L98"/>
    <mergeCell ref="B98:F98"/>
    <mergeCell ref="E90:F90"/>
    <mergeCell ref="K90:L90"/>
    <mergeCell ref="S96:S100"/>
    <mergeCell ref="T96:V96"/>
    <mergeCell ref="N99:P99"/>
    <mergeCell ref="Q99:R99"/>
    <mergeCell ref="T99:V99"/>
    <mergeCell ref="W99:X99"/>
    <mergeCell ref="N92:R92"/>
    <mergeCell ref="T92:X92"/>
    <mergeCell ref="T98:X98"/>
    <mergeCell ref="N98:R98"/>
    <mergeCell ref="A63:A64"/>
    <mergeCell ref="G63:G64"/>
    <mergeCell ref="C80:D80"/>
    <mergeCell ref="E80:F80"/>
    <mergeCell ref="I80:J80"/>
    <mergeCell ref="K80:L80"/>
    <mergeCell ref="B63:F63"/>
    <mergeCell ref="H63:L63"/>
    <mergeCell ref="A79:L79"/>
    <mergeCell ref="C76:D76"/>
    <mergeCell ref="E76:F76"/>
    <mergeCell ref="I76:J76"/>
    <mergeCell ref="K76:L76"/>
    <mergeCell ref="A75:L75"/>
    <mergeCell ref="B102:X102"/>
    <mergeCell ref="C103:G103"/>
    <mergeCell ref="I103:M103"/>
    <mergeCell ref="O103:S103"/>
    <mergeCell ref="Q80:R80"/>
    <mergeCell ref="U80:V80"/>
    <mergeCell ref="W80:X80"/>
    <mergeCell ref="C84:D84"/>
    <mergeCell ref="E84:F84"/>
    <mergeCell ref="I84:J84"/>
    <mergeCell ref="K87:L87"/>
    <mergeCell ref="O84:P84"/>
    <mergeCell ref="Q84:R84"/>
    <mergeCell ref="U84:V84"/>
    <mergeCell ref="A86:L86"/>
    <mergeCell ref="U103:X103"/>
    <mergeCell ref="Q90:R90"/>
    <mergeCell ref="W90:X90"/>
    <mergeCell ref="W96:X96"/>
    <mergeCell ref="A89:L89"/>
    <mergeCell ref="E96:F96"/>
    <mergeCell ref="K96:L96"/>
    <mergeCell ref="Q96:R96"/>
    <mergeCell ref="A95:L95"/>
    <mergeCell ref="Q145:R145"/>
    <mergeCell ref="W145:X145"/>
    <mergeCell ref="B146:R146"/>
    <mergeCell ref="C107:G107"/>
    <mergeCell ref="I107:M107"/>
    <mergeCell ref="O107:S107"/>
    <mergeCell ref="U107:X107"/>
    <mergeCell ref="C108:G108"/>
    <mergeCell ref="I108:M108"/>
    <mergeCell ref="O108:S108"/>
    <mergeCell ref="Q143:R143"/>
    <mergeCell ref="W143:X143"/>
    <mergeCell ref="E144:F144"/>
    <mergeCell ref="K144:L144"/>
    <mergeCell ref="Q144:R144"/>
    <mergeCell ref="W144:X144"/>
    <mergeCell ref="Q141:R141"/>
    <mergeCell ref="U141:V141"/>
    <mergeCell ref="W141:X141"/>
    <mergeCell ref="E142:F142"/>
    <mergeCell ref="K142:L142"/>
    <mergeCell ref="Q142:R142"/>
    <mergeCell ref="W142:X142"/>
    <mergeCell ref="C141:D141"/>
    <mergeCell ref="E141:F141"/>
    <mergeCell ref="G141:G145"/>
    <mergeCell ref="I141:J141"/>
    <mergeCell ref="K141:L141"/>
    <mergeCell ref="O141:P141"/>
    <mergeCell ref="E143:F143"/>
    <mergeCell ref="K143:L143"/>
    <mergeCell ref="E145:F145"/>
    <mergeCell ref="K145:L145"/>
    <mergeCell ref="B132:R132"/>
    <mergeCell ref="B140:X140"/>
    <mergeCell ref="U57:V57"/>
    <mergeCell ref="W57:X57"/>
    <mergeCell ref="B58:X58"/>
    <mergeCell ref="C57:D57"/>
    <mergeCell ref="E57:F57"/>
    <mergeCell ref="I57:J57"/>
    <mergeCell ref="K57:L57"/>
    <mergeCell ref="O57:P57"/>
    <mergeCell ref="Q57:R57"/>
    <mergeCell ref="B120:R120"/>
    <mergeCell ref="E118:F118"/>
    <mergeCell ref="K118:L118"/>
    <mergeCell ref="Q118:R118"/>
    <mergeCell ref="W118:X118"/>
    <mergeCell ref="E119:F119"/>
    <mergeCell ref="K119:L119"/>
    <mergeCell ref="Q119:R119"/>
    <mergeCell ref="W119:X119"/>
    <mergeCell ref="E116:F116"/>
    <mergeCell ref="K116:L116"/>
    <mergeCell ref="Q116:R116"/>
    <mergeCell ref="W116:X116"/>
    <mergeCell ref="C56:D56"/>
    <mergeCell ref="E56:F56"/>
    <mergeCell ref="I56:J56"/>
    <mergeCell ref="K56:L56"/>
    <mergeCell ref="O56:P56"/>
    <mergeCell ref="Q56:R56"/>
    <mergeCell ref="U56:V56"/>
    <mergeCell ref="W56:X56"/>
    <mergeCell ref="C55:D55"/>
    <mergeCell ref="E55:F55"/>
    <mergeCell ref="I55:J55"/>
    <mergeCell ref="K55:L55"/>
    <mergeCell ref="O55:P55"/>
    <mergeCell ref="Q55:R55"/>
    <mergeCell ref="C54:D54"/>
    <mergeCell ref="E54:F54"/>
    <mergeCell ref="I54:J54"/>
    <mergeCell ref="K54:L54"/>
    <mergeCell ref="O54:P54"/>
    <mergeCell ref="Q54:R54"/>
    <mergeCell ref="U54:V54"/>
    <mergeCell ref="W54:X54"/>
    <mergeCell ref="U55:V55"/>
    <mergeCell ref="W55:X55"/>
    <mergeCell ref="U48:V48"/>
    <mergeCell ref="W48:X48"/>
    <mergeCell ref="B52:X52"/>
    <mergeCell ref="C53:D53"/>
    <mergeCell ref="E53:F53"/>
    <mergeCell ref="I53:J53"/>
    <mergeCell ref="K53:L53"/>
    <mergeCell ref="O53:P53"/>
    <mergeCell ref="Q53:R53"/>
    <mergeCell ref="U53:V53"/>
    <mergeCell ref="C48:D48"/>
    <mergeCell ref="E48:F48"/>
    <mergeCell ref="I48:J48"/>
    <mergeCell ref="K48:L48"/>
    <mergeCell ref="O48:P48"/>
    <mergeCell ref="Q48:R48"/>
    <mergeCell ref="W53:X53"/>
    <mergeCell ref="U40:V40"/>
    <mergeCell ref="W40:X40"/>
    <mergeCell ref="C44:D44"/>
    <mergeCell ref="E44:F44"/>
    <mergeCell ref="I44:J44"/>
    <mergeCell ref="K44:L44"/>
    <mergeCell ref="O44:P44"/>
    <mergeCell ref="Q44:R44"/>
    <mergeCell ref="U44:V44"/>
    <mergeCell ref="W44:X44"/>
    <mergeCell ref="C40:D40"/>
    <mergeCell ref="E40:F40"/>
    <mergeCell ref="I40:J40"/>
    <mergeCell ref="K40:L40"/>
    <mergeCell ref="O40:P40"/>
    <mergeCell ref="Q40:R40"/>
    <mergeCell ref="C37:D37"/>
    <mergeCell ref="E37:F37"/>
    <mergeCell ref="I37:J37"/>
    <mergeCell ref="K37:L37"/>
    <mergeCell ref="O37:P37"/>
    <mergeCell ref="Q37:R37"/>
    <mergeCell ref="U37:V37"/>
    <mergeCell ref="W37:X37"/>
    <mergeCell ref="C38:D38"/>
    <mergeCell ref="E38:F38"/>
    <mergeCell ref="I38:J38"/>
    <mergeCell ref="K38:L38"/>
    <mergeCell ref="O38:P38"/>
    <mergeCell ref="Q38:R38"/>
    <mergeCell ref="U38:V38"/>
    <mergeCell ref="W38:X38"/>
    <mergeCell ref="U34:V34"/>
    <mergeCell ref="K35:L35"/>
    <mergeCell ref="O35:P35"/>
    <mergeCell ref="Q35:R35"/>
    <mergeCell ref="U35:V35"/>
    <mergeCell ref="W35:X35"/>
    <mergeCell ref="C36:D36"/>
    <mergeCell ref="E36:F36"/>
    <mergeCell ref="I36:J36"/>
    <mergeCell ref="K36:L36"/>
    <mergeCell ref="O36:P36"/>
    <mergeCell ref="Q36:R36"/>
    <mergeCell ref="U36:V36"/>
    <mergeCell ref="W36:X36"/>
    <mergeCell ref="E117:F117"/>
    <mergeCell ref="K117:L117"/>
    <mergeCell ref="Q117:R117"/>
    <mergeCell ref="W117:X117"/>
    <mergeCell ref="B114:X114"/>
    <mergeCell ref="C115:D115"/>
    <mergeCell ref="E115:F115"/>
    <mergeCell ref="G115:G119"/>
    <mergeCell ref="I115:J115"/>
    <mergeCell ref="K115:L115"/>
    <mergeCell ref="O115:P115"/>
    <mergeCell ref="Q115:R115"/>
    <mergeCell ref="U115:V115"/>
    <mergeCell ref="W115:X115"/>
    <mergeCell ref="B111:X111"/>
    <mergeCell ref="B112:X112"/>
    <mergeCell ref="U108:X108"/>
    <mergeCell ref="C109:G109"/>
    <mergeCell ref="I109:M109"/>
    <mergeCell ref="O109:S109"/>
    <mergeCell ref="C104:G104"/>
    <mergeCell ref="I104:M104"/>
    <mergeCell ref="O104:S104"/>
    <mergeCell ref="U104:X104"/>
    <mergeCell ref="C105:G105"/>
    <mergeCell ref="I105:M105"/>
    <mergeCell ref="O105:S105"/>
    <mergeCell ref="U105:X105"/>
    <mergeCell ref="U109:X109"/>
    <mergeCell ref="C110:G110"/>
    <mergeCell ref="I110:M110"/>
    <mergeCell ref="O110:S110"/>
    <mergeCell ref="U110:X110"/>
    <mergeCell ref="C106:G106"/>
    <mergeCell ref="I106:M106"/>
    <mergeCell ref="O106:S106"/>
    <mergeCell ref="U106:X106"/>
    <mergeCell ref="M79:X79"/>
    <mergeCell ref="M83:X83"/>
    <mergeCell ref="U68:V68"/>
    <mergeCell ref="W68:X68"/>
    <mergeCell ref="C72:D72"/>
    <mergeCell ref="E72:F72"/>
    <mergeCell ref="I72:J72"/>
    <mergeCell ref="K72:L72"/>
    <mergeCell ref="O72:P72"/>
    <mergeCell ref="Q72:R72"/>
    <mergeCell ref="U72:V72"/>
    <mergeCell ref="W72:X72"/>
    <mergeCell ref="C68:D68"/>
    <mergeCell ref="E68:F68"/>
    <mergeCell ref="I68:J68"/>
    <mergeCell ref="K68:L68"/>
    <mergeCell ref="O68:P68"/>
    <mergeCell ref="Q68:R68"/>
    <mergeCell ref="A71:L71"/>
    <mergeCell ref="M71:X71"/>
    <mergeCell ref="O76:P76"/>
    <mergeCell ref="Q76:R76"/>
    <mergeCell ref="U76:V76"/>
    <mergeCell ref="W76:X76"/>
    <mergeCell ref="U31:V31"/>
    <mergeCell ref="W31:X31"/>
    <mergeCell ref="B32:X32"/>
    <mergeCell ref="B61:I61"/>
    <mergeCell ref="K61:M61"/>
    <mergeCell ref="P61:X61"/>
    <mergeCell ref="W34:X34"/>
    <mergeCell ref="C35:D35"/>
    <mergeCell ref="E35:F35"/>
    <mergeCell ref="I35:J35"/>
    <mergeCell ref="C31:D31"/>
    <mergeCell ref="E31:F31"/>
    <mergeCell ref="I31:J31"/>
    <mergeCell ref="K31:L31"/>
    <mergeCell ref="O31:P31"/>
    <mergeCell ref="Q31:R31"/>
    <mergeCell ref="B33:L33"/>
    <mergeCell ref="N33:X33"/>
    <mergeCell ref="C34:D34"/>
    <mergeCell ref="E34:F34"/>
    <mergeCell ref="I34:J34"/>
    <mergeCell ref="K34:L34"/>
    <mergeCell ref="O34:P34"/>
    <mergeCell ref="Q34:R34"/>
    <mergeCell ref="C30:D30"/>
    <mergeCell ref="E30:F30"/>
    <mergeCell ref="I30:J30"/>
    <mergeCell ref="K30:L30"/>
    <mergeCell ref="O30:P30"/>
    <mergeCell ref="Q30:R30"/>
    <mergeCell ref="U30:V30"/>
    <mergeCell ref="W30:X30"/>
    <mergeCell ref="C29:D29"/>
    <mergeCell ref="E29:F29"/>
    <mergeCell ref="I29:J29"/>
    <mergeCell ref="K29:L29"/>
    <mergeCell ref="O29:P29"/>
    <mergeCell ref="Q29:R29"/>
    <mergeCell ref="C28:D28"/>
    <mergeCell ref="E28:F28"/>
    <mergeCell ref="I28:J28"/>
    <mergeCell ref="K28:L28"/>
    <mergeCell ref="O28:P28"/>
    <mergeCell ref="Q28:R28"/>
    <mergeCell ref="U28:V28"/>
    <mergeCell ref="W28:X28"/>
    <mergeCell ref="U29:V29"/>
    <mergeCell ref="W29:X29"/>
    <mergeCell ref="U22:V22"/>
    <mergeCell ref="W22:X22"/>
    <mergeCell ref="B26:X26"/>
    <mergeCell ref="C27:D27"/>
    <mergeCell ref="E27:F27"/>
    <mergeCell ref="I27:J27"/>
    <mergeCell ref="K27:L27"/>
    <mergeCell ref="O27:P27"/>
    <mergeCell ref="Q27:R27"/>
    <mergeCell ref="U27:V27"/>
    <mergeCell ref="C22:D22"/>
    <mergeCell ref="E22:F22"/>
    <mergeCell ref="I22:J22"/>
    <mergeCell ref="K22:L22"/>
    <mergeCell ref="O22:P22"/>
    <mergeCell ref="Q22:R22"/>
    <mergeCell ref="W27:X27"/>
    <mergeCell ref="U14:V14"/>
    <mergeCell ref="W14:X14"/>
    <mergeCell ref="C18:D18"/>
    <mergeCell ref="E18:F18"/>
    <mergeCell ref="I18:J18"/>
    <mergeCell ref="K18:L18"/>
    <mergeCell ref="O18:P18"/>
    <mergeCell ref="Q18:R18"/>
    <mergeCell ref="U18:V18"/>
    <mergeCell ref="W18:X18"/>
    <mergeCell ref="C14:D14"/>
    <mergeCell ref="E14:F14"/>
    <mergeCell ref="I14:J14"/>
    <mergeCell ref="K14:L14"/>
    <mergeCell ref="O14:P14"/>
    <mergeCell ref="Q14:R14"/>
    <mergeCell ref="C12:D12"/>
    <mergeCell ref="E12:F12"/>
    <mergeCell ref="I12:J12"/>
    <mergeCell ref="K12:L12"/>
    <mergeCell ref="O12:P12"/>
    <mergeCell ref="Q12:R12"/>
    <mergeCell ref="U12:V12"/>
    <mergeCell ref="W12:X12"/>
    <mergeCell ref="C11:D11"/>
    <mergeCell ref="E11:F11"/>
    <mergeCell ref="I11:J11"/>
    <mergeCell ref="K11:L11"/>
    <mergeCell ref="O11:P11"/>
    <mergeCell ref="Q11:R11"/>
    <mergeCell ref="C10:D10"/>
    <mergeCell ref="E10:F10"/>
    <mergeCell ref="I10:J10"/>
    <mergeCell ref="K10:L10"/>
    <mergeCell ref="O10:P10"/>
    <mergeCell ref="Q10:R10"/>
    <mergeCell ref="U10:V10"/>
    <mergeCell ref="W10:X10"/>
    <mergeCell ref="U11:V11"/>
    <mergeCell ref="W11:X11"/>
    <mergeCell ref="W8:X8"/>
    <mergeCell ref="C9:D9"/>
    <mergeCell ref="E9:F9"/>
    <mergeCell ref="I9:J9"/>
    <mergeCell ref="K9:L9"/>
    <mergeCell ref="O9:P9"/>
    <mergeCell ref="Q9:R9"/>
    <mergeCell ref="U9:V9"/>
    <mergeCell ref="W9:X9"/>
    <mergeCell ref="B1:U1"/>
    <mergeCell ref="V1:X5"/>
    <mergeCell ref="F4:H4"/>
    <mergeCell ref="J4:L4"/>
    <mergeCell ref="M4:N4"/>
    <mergeCell ref="F5:H5"/>
    <mergeCell ref="M5:N5"/>
    <mergeCell ref="S5:T5"/>
    <mergeCell ref="A67:L67"/>
    <mergeCell ref="M63:M64"/>
    <mergeCell ref="S63:S64"/>
    <mergeCell ref="M67:X67"/>
    <mergeCell ref="B6:I6"/>
    <mergeCell ref="K6:M6"/>
    <mergeCell ref="P6:X6"/>
    <mergeCell ref="B7:L7"/>
    <mergeCell ref="N7:X7"/>
    <mergeCell ref="C8:D8"/>
    <mergeCell ref="E8:F8"/>
    <mergeCell ref="I8:J8"/>
    <mergeCell ref="K8:L8"/>
    <mergeCell ref="O8:P8"/>
    <mergeCell ref="Q8:R8"/>
    <mergeCell ref="U8:V8"/>
    <mergeCell ref="A101:X101"/>
    <mergeCell ref="G96:G100"/>
    <mergeCell ref="G90:G94"/>
    <mergeCell ref="A96:A100"/>
    <mergeCell ref="A90:A94"/>
    <mergeCell ref="H99:J99"/>
    <mergeCell ref="H93:J93"/>
    <mergeCell ref="H96:J96"/>
    <mergeCell ref="H90:J90"/>
    <mergeCell ref="B99:D99"/>
    <mergeCell ref="B90:D90"/>
    <mergeCell ref="B93:D93"/>
    <mergeCell ref="B96:D96"/>
    <mergeCell ref="M90:M94"/>
    <mergeCell ref="N90:P90"/>
    <mergeCell ref="S90:S94"/>
    <mergeCell ref="T90:V90"/>
    <mergeCell ref="N93:P93"/>
    <mergeCell ref="Q93:R93"/>
    <mergeCell ref="T93:V93"/>
    <mergeCell ref="W93:X93"/>
    <mergeCell ref="M95:X95"/>
    <mergeCell ref="M96:M100"/>
    <mergeCell ref="N96:P96"/>
    <mergeCell ref="B59:X59"/>
    <mergeCell ref="M86:X86"/>
    <mergeCell ref="O87:P87"/>
    <mergeCell ref="Q87:R87"/>
    <mergeCell ref="U87:V87"/>
    <mergeCell ref="W87:X87"/>
    <mergeCell ref="M89:X89"/>
    <mergeCell ref="O80:P80"/>
    <mergeCell ref="W84:X84"/>
    <mergeCell ref="B60:X60"/>
    <mergeCell ref="A83:L83"/>
    <mergeCell ref="B62:L62"/>
    <mergeCell ref="N62:X62"/>
    <mergeCell ref="C64:D64"/>
    <mergeCell ref="E64:F64"/>
    <mergeCell ref="I64:J64"/>
    <mergeCell ref="K64:L64"/>
    <mergeCell ref="O64:P64"/>
    <mergeCell ref="Q64:R64"/>
    <mergeCell ref="U64:V64"/>
    <mergeCell ref="W64:X64"/>
    <mergeCell ref="N63:R63"/>
    <mergeCell ref="T63:X63"/>
    <mergeCell ref="M75:X7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65" fitToHeight="2" orientation="landscape" horizontalDpi="300" verticalDpi="300" r:id="rId1"/>
  <rowBreaks count="1" manualBreakCount="1">
    <brk id="59" max="2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2"/>
  <sheetViews>
    <sheetView workbookViewId="0">
      <selection activeCell="A124" sqref="A124"/>
    </sheetView>
  </sheetViews>
  <sheetFormatPr baseColWidth="10" defaultRowHeight="15" x14ac:dyDescent="0.25"/>
  <cols>
    <col min="1" max="1" width="20.85546875" style="305" customWidth="1"/>
    <col min="2" max="5" width="34.85546875" customWidth="1"/>
  </cols>
  <sheetData>
    <row r="1" spans="1:5" ht="91.7" customHeight="1" thickBot="1" x14ac:dyDescent="0.3">
      <c r="A1" s="660" t="s">
        <v>121</v>
      </c>
      <c r="B1" s="661"/>
      <c r="C1" s="661"/>
      <c r="D1" s="661"/>
      <c r="E1" s="661"/>
    </row>
    <row r="2" spans="1:5" s="286" customFormat="1" ht="15.75" thickBot="1" x14ac:dyDescent="0.3">
      <c r="A2" s="282" t="s">
        <v>102</v>
      </c>
      <c r="B2" s="283" t="s">
        <v>103</v>
      </c>
      <c r="C2" s="284" t="s">
        <v>104</v>
      </c>
      <c r="D2" s="283" t="s">
        <v>105</v>
      </c>
      <c r="E2" s="285" t="s">
        <v>122</v>
      </c>
    </row>
    <row r="3" spans="1:5" s="291" customFormat="1" ht="27.6" customHeight="1" x14ac:dyDescent="0.25">
      <c r="A3" s="287" t="s">
        <v>123</v>
      </c>
      <c r="B3" s="288" t="s">
        <v>124</v>
      </c>
      <c r="C3" s="289" t="s">
        <v>125</v>
      </c>
      <c r="D3" s="288" t="s">
        <v>126</v>
      </c>
      <c r="E3" s="290" t="s">
        <v>127</v>
      </c>
    </row>
    <row r="4" spans="1:5" s="291" customFormat="1" ht="27.6" customHeight="1" x14ac:dyDescent="0.25">
      <c r="A4" s="292" t="s">
        <v>128</v>
      </c>
      <c r="B4" s="293" t="s">
        <v>129</v>
      </c>
      <c r="C4" s="294" t="s">
        <v>130</v>
      </c>
      <c r="D4" s="293" t="s">
        <v>131</v>
      </c>
      <c r="E4" s="295" t="s">
        <v>131</v>
      </c>
    </row>
    <row r="5" spans="1:5" s="291" customFormat="1" ht="27.6" customHeight="1" x14ac:dyDescent="0.25">
      <c r="A5" s="292" t="s">
        <v>132</v>
      </c>
      <c r="B5" s="293" t="s">
        <v>133</v>
      </c>
      <c r="C5" s="294" t="s">
        <v>133</v>
      </c>
      <c r="D5" s="293" t="s">
        <v>134</v>
      </c>
      <c r="E5" s="295" t="s">
        <v>134</v>
      </c>
    </row>
    <row r="6" spans="1:5" s="291" customFormat="1" ht="27.6" customHeight="1" x14ac:dyDescent="0.25">
      <c r="A6" s="292" t="s">
        <v>135</v>
      </c>
      <c r="B6" s="293" t="s">
        <v>136</v>
      </c>
      <c r="C6" s="294" t="s">
        <v>136</v>
      </c>
      <c r="D6" s="293" t="s">
        <v>137</v>
      </c>
      <c r="E6" s="295" t="s">
        <v>137</v>
      </c>
    </row>
    <row r="7" spans="1:5" s="291" customFormat="1" ht="27.6" customHeight="1" x14ac:dyDescent="0.25">
      <c r="A7" s="292" t="s">
        <v>138</v>
      </c>
      <c r="B7" s="296" t="s">
        <v>139</v>
      </c>
      <c r="C7" s="297" t="s">
        <v>139</v>
      </c>
      <c r="D7" s="296" t="s">
        <v>140</v>
      </c>
      <c r="E7" s="298" t="s">
        <v>141</v>
      </c>
    </row>
    <row r="8" spans="1:5" s="291" customFormat="1" ht="27.6" customHeight="1" x14ac:dyDescent="0.25">
      <c r="A8" s="299" t="s">
        <v>205</v>
      </c>
      <c r="B8" s="296" t="s">
        <v>142</v>
      </c>
      <c r="C8" s="297" t="s">
        <v>143</v>
      </c>
      <c r="D8" s="296" t="s">
        <v>143</v>
      </c>
      <c r="E8" s="298" t="s">
        <v>144</v>
      </c>
    </row>
    <row r="9" spans="1:5" s="291" customFormat="1" ht="27.6" customHeight="1" x14ac:dyDescent="0.25">
      <c r="A9" s="292" t="s">
        <v>145</v>
      </c>
      <c r="B9" s="293" t="s">
        <v>224</v>
      </c>
      <c r="C9" s="294" t="s">
        <v>224</v>
      </c>
      <c r="D9" s="296" t="s">
        <v>206</v>
      </c>
      <c r="E9" s="298" t="s">
        <v>207</v>
      </c>
    </row>
    <row r="10" spans="1:5" s="291" customFormat="1" ht="99.95" customHeight="1" thickBot="1" x14ac:dyDescent="0.3">
      <c r="A10" s="397" t="s">
        <v>209</v>
      </c>
      <c r="B10" s="399" t="s">
        <v>227</v>
      </c>
      <c r="C10" s="400" t="s">
        <v>227</v>
      </c>
      <c r="D10" s="399" t="s">
        <v>225</v>
      </c>
      <c r="E10" s="401" t="s">
        <v>226</v>
      </c>
    </row>
    <row r="11" spans="1:5" s="291" customFormat="1" ht="51.75" thickBot="1" x14ac:dyDescent="0.3">
      <c r="A11" s="398" t="s">
        <v>223</v>
      </c>
      <c r="B11" s="402"/>
      <c r="C11" s="405" t="s">
        <v>230</v>
      </c>
      <c r="D11" s="402"/>
      <c r="E11" s="405" t="s">
        <v>231</v>
      </c>
    </row>
    <row r="12" spans="1:5" s="291" customFormat="1" ht="15" customHeight="1" thickBot="1" x14ac:dyDescent="0.3">
      <c r="A12" s="398"/>
      <c r="B12" s="667" t="s">
        <v>208</v>
      </c>
      <c r="C12" s="668"/>
      <c r="D12" s="668"/>
      <c r="E12" s="669"/>
    </row>
    <row r="13" spans="1:5" s="291" customFormat="1" ht="232.35" customHeight="1" thickBot="1" x14ac:dyDescent="0.3">
      <c r="A13" s="403" t="s">
        <v>146</v>
      </c>
      <c r="B13" s="404" t="s">
        <v>147</v>
      </c>
      <c r="C13" s="404" t="s">
        <v>148</v>
      </c>
      <c r="D13" s="404" t="s">
        <v>149</v>
      </c>
      <c r="E13" s="404" t="s">
        <v>150</v>
      </c>
    </row>
    <row r="14" spans="1:5" s="291" customFormat="1" x14ac:dyDescent="0.25">
      <c r="A14" s="286"/>
      <c r="B14" s="304"/>
      <c r="C14" s="304"/>
      <c r="D14" s="304"/>
      <c r="E14" s="381" t="s">
        <v>217</v>
      </c>
    </row>
    <row r="15" spans="1:5" s="291" customFormat="1" x14ac:dyDescent="0.25">
      <c r="A15" s="286"/>
      <c r="B15" s="304"/>
      <c r="C15" s="304"/>
      <c r="D15" s="304"/>
      <c r="E15" s="304"/>
    </row>
    <row r="16" spans="1:5" s="291" customFormat="1" x14ac:dyDescent="0.25">
      <c r="A16" s="286"/>
      <c r="B16" s="228"/>
      <c r="C16" s="228"/>
      <c r="D16" s="228"/>
      <c r="E16" s="228"/>
    </row>
    <row r="17" spans="1:5" s="291" customFormat="1" x14ac:dyDescent="0.25">
      <c r="A17" s="286"/>
      <c r="B17" s="228"/>
      <c r="C17" s="228"/>
      <c r="D17" s="228"/>
      <c r="E17" s="228"/>
    </row>
    <row r="18" spans="1:5" s="291" customFormat="1" x14ac:dyDescent="0.25">
      <c r="A18" s="286"/>
      <c r="B18" s="228"/>
      <c r="C18" s="228"/>
      <c r="D18" s="228"/>
      <c r="E18" s="228"/>
    </row>
    <row r="19" spans="1:5" s="291" customFormat="1" x14ac:dyDescent="0.25">
      <c r="A19" s="286"/>
      <c r="B19" s="228"/>
      <c r="C19" s="228"/>
      <c r="D19" s="228"/>
      <c r="E19" s="228"/>
    </row>
    <row r="20" spans="1:5" s="291" customFormat="1" x14ac:dyDescent="0.25">
      <c r="A20" s="286"/>
      <c r="B20" s="228"/>
      <c r="C20" s="228"/>
      <c r="D20" s="228"/>
      <c r="E20" s="228"/>
    </row>
    <row r="21" spans="1:5" s="291" customFormat="1" x14ac:dyDescent="0.25">
      <c r="A21" s="286"/>
      <c r="B21" s="228"/>
      <c r="C21" s="228"/>
      <c r="D21" s="228"/>
      <c r="E21" s="228"/>
    </row>
    <row r="22" spans="1:5" s="291" customFormat="1" x14ac:dyDescent="0.25">
      <c r="A22" s="286"/>
      <c r="B22" s="228"/>
      <c r="C22" s="228"/>
      <c r="D22" s="228"/>
      <c r="E22" s="228"/>
    </row>
  </sheetData>
  <sheetProtection sheet="1" objects="1" scenarios="1"/>
  <mergeCells count="2">
    <mergeCell ref="A1:E1"/>
    <mergeCell ref="B12:E12"/>
  </mergeCells>
  <printOptions horizontalCentered="1"/>
  <pageMargins left="3.937007874015748E-2" right="3.937007874015748E-2" top="0.15748031496062992" bottom="0.15748031496062992" header="0" footer="0"/>
  <pageSetup paperSize="9" scale="82" orientation="landscape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X238"/>
  <sheetViews>
    <sheetView showGridLines="0" zoomScaleNormal="10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5.570312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5.570312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5.570312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300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811"/>
      <c r="V1" s="812"/>
      <c r="W1" s="813"/>
    </row>
    <row r="2" spans="1:23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814"/>
      <c r="V2" s="815"/>
      <c r="W2" s="816"/>
    </row>
    <row r="3" spans="1:23" ht="24.95" customHeight="1" thickBot="1" x14ac:dyDescent="0.3">
      <c r="A3" s="263" t="s">
        <v>306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814"/>
      <c r="V3" s="815"/>
      <c r="W3" s="816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523"/>
      <c r="I4" s="1148" t="s">
        <v>263</v>
      </c>
      <c r="J4" s="1148"/>
      <c r="K4" s="1148"/>
      <c r="L4" s="742">
        <f>(3*J7)+(3*J62)+J112</f>
        <v>5.8333333333333334E-2</v>
      </c>
      <c r="M4" s="742"/>
      <c r="N4" s="264" t="s">
        <v>33</v>
      </c>
      <c r="O4" s="319"/>
      <c r="P4" s="200"/>
      <c r="Q4" s="200"/>
      <c r="R4" s="200"/>
      <c r="S4" s="200"/>
      <c r="T4" s="201"/>
      <c r="U4" s="814"/>
      <c r="V4" s="815"/>
      <c r="W4" s="816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S121-A16+J112+R5</f>
        <v>0.35555555555555501</v>
      </c>
      <c r="F5" s="810"/>
      <c r="G5" s="810"/>
      <c r="H5" s="215"/>
      <c r="I5" s="216" t="s">
        <v>79</v>
      </c>
      <c r="J5" s="216"/>
      <c r="K5" s="216"/>
      <c r="L5" s="687">
        <v>2.8472222222222222E-2</v>
      </c>
      <c r="M5" s="688"/>
      <c r="N5" s="215"/>
      <c r="O5" s="216" t="s">
        <v>242</v>
      </c>
      <c r="P5" s="216"/>
      <c r="Q5" s="216"/>
      <c r="R5" s="687">
        <v>3.472222222222222E-3</v>
      </c>
      <c r="S5" s="688"/>
      <c r="T5" s="320"/>
      <c r="U5" s="817"/>
      <c r="V5" s="818"/>
      <c r="W5" s="819"/>
    </row>
    <row r="6" spans="1:23" ht="13.5" customHeight="1" thickBot="1" x14ac:dyDescent="0.3">
      <c r="A6" s="317"/>
      <c r="B6" s="215"/>
      <c r="C6" s="215"/>
      <c r="D6" s="215"/>
      <c r="E6" s="524"/>
      <c r="F6" s="524"/>
      <c r="G6" s="524"/>
      <c r="H6" s="215"/>
      <c r="I6" s="216"/>
      <c r="J6" s="216"/>
      <c r="K6" s="216"/>
      <c r="L6" s="533"/>
      <c r="M6" s="533"/>
      <c r="N6" s="215"/>
      <c r="O6" s="216"/>
      <c r="P6" s="216"/>
      <c r="Q6" s="216"/>
      <c r="R6" s="533"/>
      <c r="S6" s="533"/>
      <c r="T6" s="493"/>
      <c r="U6" s="525"/>
      <c r="V6" s="525"/>
      <c r="W6" s="526"/>
    </row>
    <row r="7" spans="1:23" ht="21.75" thickBot="1" x14ac:dyDescent="0.4">
      <c r="A7" s="1141" t="s">
        <v>35</v>
      </c>
      <c r="B7" s="1142"/>
      <c r="C7" s="1142"/>
      <c r="D7" s="1142"/>
      <c r="E7" s="1142"/>
      <c r="F7" s="1142"/>
      <c r="G7" s="1142"/>
      <c r="H7" s="1142"/>
      <c r="I7" s="520" t="s">
        <v>18</v>
      </c>
      <c r="J7" s="782">
        <v>8.3333333333333332E-3</v>
      </c>
      <c r="K7" s="782"/>
      <c r="L7" s="782"/>
      <c r="M7" s="527" t="s">
        <v>17</v>
      </c>
      <c r="N7" s="520"/>
      <c r="O7" s="686"/>
      <c r="P7" s="686"/>
      <c r="Q7" s="686"/>
      <c r="R7" s="686"/>
      <c r="S7" s="686"/>
      <c r="T7" s="686"/>
      <c r="U7" s="686"/>
      <c r="V7" s="686"/>
      <c r="W7" s="781"/>
    </row>
    <row r="8" spans="1:23" ht="16.5" thickBot="1" x14ac:dyDescent="0.3">
      <c r="A8" s="780" t="s">
        <v>87</v>
      </c>
      <c r="B8" s="686"/>
      <c r="C8" s="686"/>
      <c r="D8" s="686"/>
      <c r="E8" s="686"/>
      <c r="F8" s="686"/>
      <c r="G8" s="686"/>
      <c r="H8" s="686"/>
      <c r="I8" s="686"/>
      <c r="J8" s="686"/>
      <c r="K8" s="781"/>
      <c r="L8" s="567"/>
      <c r="M8" s="780" t="s">
        <v>88</v>
      </c>
      <c r="N8" s="686"/>
      <c r="O8" s="686"/>
      <c r="P8" s="686"/>
      <c r="Q8" s="686"/>
      <c r="R8" s="686"/>
      <c r="S8" s="686"/>
      <c r="T8" s="686"/>
      <c r="U8" s="686"/>
      <c r="V8" s="686"/>
      <c r="W8" s="781"/>
    </row>
    <row r="9" spans="1:23" x14ac:dyDescent="0.25">
      <c r="A9" s="6"/>
      <c r="B9" s="744" t="s">
        <v>41</v>
      </c>
      <c r="C9" s="745"/>
      <c r="D9" s="744" t="s">
        <v>15</v>
      </c>
      <c r="E9" s="746"/>
      <c r="F9" s="102"/>
      <c r="G9" s="7"/>
      <c r="H9" s="747" t="s">
        <v>42</v>
      </c>
      <c r="I9" s="748"/>
      <c r="J9" s="747" t="s">
        <v>15</v>
      </c>
      <c r="K9" s="749"/>
      <c r="L9" s="76"/>
      <c r="M9" s="8"/>
      <c r="N9" s="804" t="s">
        <v>43</v>
      </c>
      <c r="O9" s="805"/>
      <c r="P9" s="804" t="s">
        <v>15</v>
      </c>
      <c r="Q9" s="806"/>
      <c r="R9" s="2"/>
      <c r="S9" s="9"/>
      <c r="T9" s="807" t="s">
        <v>55</v>
      </c>
      <c r="U9" s="808"/>
      <c r="V9" s="807" t="s">
        <v>15</v>
      </c>
      <c r="W9" s="809"/>
    </row>
    <row r="10" spans="1:23" x14ac:dyDescent="0.25">
      <c r="A10" s="10">
        <v>1</v>
      </c>
      <c r="B10" s="731" t="s">
        <v>22</v>
      </c>
      <c r="C10" s="732"/>
      <c r="D10" s="725">
        <f>A140+A144+A148+C135/1000000</f>
        <v>0</v>
      </c>
      <c r="E10" s="726"/>
      <c r="F10" s="103"/>
      <c r="G10" s="11">
        <v>1</v>
      </c>
      <c r="H10" s="727" t="s">
        <v>26</v>
      </c>
      <c r="I10" s="728"/>
      <c r="J10" s="729">
        <f>G140+G144+G148+I135/1000000</f>
        <v>0</v>
      </c>
      <c r="K10" s="730"/>
      <c r="L10" s="76"/>
      <c r="M10" s="12">
        <v>1</v>
      </c>
      <c r="N10" s="800" t="s">
        <v>37</v>
      </c>
      <c r="O10" s="801"/>
      <c r="P10" s="802">
        <f>M140+M144+M148+O135/1000000</f>
        <v>0</v>
      </c>
      <c r="Q10" s="803"/>
      <c r="R10" s="2"/>
      <c r="S10" s="13">
        <v>1</v>
      </c>
      <c r="T10" s="796" t="s">
        <v>56</v>
      </c>
      <c r="U10" s="797"/>
      <c r="V10" s="798">
        <f>S140+S144+S148+U135/1000000</f>
        <v>0</v>
      </c>
      <c r="W10" s="799"/>
    </row>
    <row r="11" spans="1:23" x14ac:dyDescent="0.25">
      <c r="A11" s="10">
        <v>2</v>
      </c>
      <c r="B11" s="731" t="s">
        <v>23</v>
      </c>
      <c r="C11" s="732"/>
      <c r="D11" s="725">
        <f>B140+A145+A149+C136/1000000</f>
        <v>0</v>
      </c>
      <c r="E11" s="726"/>
      <c r="F11" s="103"/>
      <c r="G11" s="11">
        <v>2</v>
      </c>
      <c r="H11" s="727" t="s">
        <v>27</v>
      </c>
      <c r="I11" s="728"/>
      <c r="J11" s="729">
        <f>H140+G145+G149+I136/1000000</f>
        <v>0</v>
      </c>
      <c r="K11" s="730"/>
      <c r="L11" s="76"/>
      <c r="M11" s="12">
        <v>2</v>
      </c>
      <c r="N11" s="800" t="s">
        <v>38</v>
      </c>
      <c r="O11" s="801"/>
      <c r="P11" s="802">
        <f>N140+M145+M149+O136/1000000</f>
        <v>0</v>
      </c>
      <c r="Q11" s="803"/>
      <c r="R11" s="2"/>
      <c r="S11" s="13">
        <v>2</v>
      </c>
      <c r="T11" s="796" t="s">
        <v>57</v>
      </c>
      <c r="U11" s="797"/>
      <c r="V11" s="798">
        <f>T140+S145+S149+U136/1000000</f>
        <v>0</v>
      </c>
      <c r="W11" s="799"/>
    </row>
    <row r="12" spans="1:23" x14ac:dyDescent="0.25">
      <c r="A12" s="10">
        <v>3</v>
      </c>
      <c r="B12" s="731" t="s">
        <v>24</v>
      </c>
      <c r="C12" s="732"/>
      <c r="D12" s="725">
        <f>A141+B144+B149+C137/1000000</f>
        <v>0</v>
      </c>
      <c r="E12" s="726"/>
      <c r="F12" s="103"/>
      <c r="G12" s="11">
        <v>3</v>
      </c>
      <c r="H12" s="727" t="s">
        <v>28</v>
      </c>
      <c r="I12" s="728"/>
      <c r="J12" s="729">
        <f>G141+H144+H149+I137/1000000</f>
        <v>0</v>
      </c>
      <c r="K12" s="730"/>
      <c r="L12" s="76"/>
      <c r="M12" s="12">
        <v>3</v>
      </c>
      <c r="N12" s="800" t="s">
        <v>39</v>
      </c>
      <c r="O12" s="801"/>
      <c r="P12" s="802">
        <f>M141+N144+N149+O137/1000000</f>
        <v>0</v>
      </c>
      <c r="Q12" s="803"/>
      <c r="R12" s="2"/>
      <c r="S12" s="13">
        <v>3</v>
      </c>
      <c r="T12" s="796" t="s">
        <v>58</v>
      </c>
      <c r="U12" s="797"/>
      <c r="V12" s="798">
        <f>S141+T144+T149+U137/1000000</f>
        <v>0</v>
      </c>
      <c r="W12" s="799"/>
    </row>
    <row r="13" spans="1:23" ht="15.75" thickBot="1" x14ac:dyDescent="0.3">
      <c r="A13" s="15">
        <v>4</v>
      </c>
      <c r="B13" s="717" t="s">
        <v>25</v>
      </c>
      <c r="C13" s="718"/>
      <c r="D13" s="719">
        <f>B141+B145+B148+C138/1000000</f>
        <v>0</v>
      </c>
      <c r="E13" s="720"/>
      <c r="F13" s="103"/>
      <c r="G13" s="16">
        <v>4</v>
      </c>
      <c r="H13" s="721" t="s">
        <v>29</v>
      </c>
      <c r="I13" s="722"/>
      <c r="J13" s="723">
        <f>H141+H145+H148+I138/1000000</f>
        <v>0</v>
      </c>
      <c r="K13" s="724"/>
      <c r="L13" s="76"/>
      <c r="M13" s="17">
        <v>4</v>
      </c>
      <c r="N13" s="792" t="s">
        <v>40</v>
      </c>
      <c r="O13" s="793"/>
      <c r="P13" s="794">
        <f>N141+N145+N148+O138/1000000</f>
        <v>0</v>
      </c>
      <c r="Q13" s="795"/>
      <c r="R13" s="2"/>
      <c r="S13" s="18">
        <v>4</v>
      </c>
      <c r="T13" s="788" t="s">
        <v>59</v>
      </c>
      <c r="U13" s="789"/>
      <c r="V13" s="790">
        <f>T141+T145+T148+U138/1000000</f>
        <v>0</v>
      </c>
      <c r="W13" s="791"/>
    </row>
    <row r="14" spans="1:23" ht="5.0999999999999996" customHeight="1" thickBot="1" x14ac:dyDescent="0.3">
      <c r="A14" s="19"/>
      <c r="B14" s="2"/>
      <c r="C14" s="2"/>
      <c r="D14" s="2"/>
      <c r="E14" s="2"/>
      <c r="F14" s="2"/>
      <c r="G14" s="2"/>
      <c r="H14" s="2"/>
      <c r="I14" s="22"/>
      <c r="J14" s="2"/>
      <c r="K14" s="2"/>
      <c r="L14" s="85"/>
      <c r="M14" s="2"/>
      <c r="N14" s="2"/>
      <c r="O14" s="2"/>
      <c r="P14" s="2"/>
      <c r="Q14" s="2"/>
      <c r="R14" s="2"/>
      <c r="S14" s="2"/>
      <c r="T14" s="2"/>
      <c r="U14" s="2"/>
      <c r="V14" s="2"/>
      <c r="W14" s="21"/>
    </row>
    <row r="15" spans="1:23" s="29" customFormat="1" x14ac:dyDescent="0.25">
      <c r="A15" s="24"/>
      <c r="B15" s="713" t="s">
        <v>5</v>
      </c>
      <c r="C15" s="713"/>
      <c r="D15" s="713" t="s">
        <v>16</v>
      </c>
      <c r="E15" s="714"/>
      <c r="F15" s="25"/>
      <c r="G15" s="26"/>
      <c r="H15" s="715" t="s">
        <v>5</v>
      </c>
      <c r="I15" s="715"/>
      <c r="J15" s="715" t="s">
        <v>16</v>
      </c>
      <c r="K15" s="716"/>
      <c r="L15" s="77"/>
      <c r="M15" s="27"/>
      <c r="N15" s="786" t="s">
        <v>5</v>
      </c>
      <c r="O15" s="786"/>
      <c r="P15" s="786" t="s">
        <v>16</v>
      </c>
      <c r="Q15" s="787"/>
      <c r="R15" s="25"/>
      <c r="S15" s="28"/>
      <c r="T15" s="784" t="s">
        <v>5</v>
      </c>
      <c r="U15" s="784"/>
      <c r="V15" s="784" t="s">
        <v>16</v>
      </c>
      <c r="W15" s="785"/>
    </row>
    <row r="16" spans="1:23" x14ac:dyDescent="0.25">
      <c r="A16" s="30">
        <f>E4</f>
        <v>0.375</v>
      </c>
      <c r="B16" s="31" t="str">
        <f>B10</f>
        <v>Equipe 1</v>
      </c>
      <c r="C16" s="31" t="str">
        <f>B11</f>
        <v>Equipe 2</v>
      </c>
      <c r="D16" s="53"/>
      <c r="E16" s="54"/>
      <c r="F16" s="2"/>
      <c r="G16" s="32">
        <f>A17+$J$7+R5</f>
        <v>0.39861111111111114</v>
      </c>
      <c r="H16" s="33" t="str">
        <f>H10</f>
        <v>Equipe 5</v>
      </c>
      <c r="I16" s="33" t="str">
        <f>H11</f>
        <v>Equipe 6</v>
      </c>
      <c r="J16" s="57"/>
      <c r="K16" s="58"/>
      <c r="L16" s="76"/>
      <c r="M16" s="34">
        <f>E4</f>
        <v>0.375</v>
      </c>
      <c r="N16" s="35" t="str">
        <f>N10</f>
        <v>Equipe 9</v>
      </c>
      <c r="O16" s="35" t="str">
        <f>N11</f>
        <v>Equipe 10</v>
      </c>
      <c r="P16" s="61"/>
      <c r="Q16" s="62"/>
      <c r="R16" s="2"/>
      <c r="S16" s="36">
        <f>M17+$J$7+R5</f>
        <v>0.39861111111111114</v>
      </c>
      <c r="T16" s="37" t="str">
        <f>T10</f>
        <v>Equipe 13</v>
      </c>
      <c r="U16" s="37" t="str">
        <f>T11</f>
        <v>Equipe 14</v>
      </c>
      <c r="V16" s="65"/>
      <c r="W16" s="66"/>
    </row>
    <row r="17" spans="1:23" ht="15.75" thickBot="1" x14ac:dyDescent="0.3">
      <c r="A17" s="38">
        <f>A16+$J$7+R5</f>
        <v>0.38680555555555557</v>
      </c>
      <c r="B17" s="39" t="str">
        <f>B12</f>
        <v>Equipe 3</v>
      </c>
      <c r="C17" s="39" t="str">
        <f>B13</f>
        <v>Equipe 4</v>
      </c>
      <c r="D17" s="55"/>
      <c r="E17" s="56"/>
      <c r="F17" s="2"/>
      <c r="G17" s="40">
        <f>G16+$J$7+R5</f>
        <v>0.41041666666666671</v>
      </c>
      <c r="H17" s="41" t="str">
        <f>H12</f>
        <v>Equipe 7</v>
      </c>
      <c r="I17" s="41" t="str">
        <f>H13</f>
        <v>Equipe 8</v>
      </c>
      <c r="J17" s="59"/>
      <c r="K17" s="60"/>
      <c r="L17" s="76"/>
      <c r="M17" s="42">
        <f>M16+$J$7+R5</f>
        <v>0.38680555555555557</v>
      </c>
      <c r="N17" s="43" t="str">
        <f>N12</f>
        <v>Equipe 11</v>
      </c>
      <c r="O17" s="43" t="str">
        <f>N13</f>
        <v>Equipe 12</v>
      </c>
      <c r="P17" s="63"/>
      <c r="Q17" s="64"/>
      <c r="R17" s="2"/>
      <c r="S17" s="44">
        <f>S16+$J$7+R5</f>
        <v>0.41041666666666671</v>
      </c>
      <c r="T17" s="45" t="str">
        <f>T12</f>
        <v>Equipe 15</v>
      </c>
      <c r="U17" s="45" t="str">
        <f>T13</f>
        <v>Equipe 16</v>
      </c>
      <c r="V17" s="67"/>
      <c r="W17" s="68"/>
    </row>
    <row r="18" spans="1:23" ht="5.0999999999999996" customHeight="1" thickBot="1" x14ac:dyDescent="0.3">
      <c r="A18" s="19"/>
      <c r="B18" s="2"/>
      <c r="C18" s="2"/>
      <c r="D18" s="521"/>
      <c r="E18" s="521"/>
      <c r="F18" s="2"/>
      <c r="G18" s="2"/>
      <c r="H18" s="2"/>
      <c r="I18" s="47"/>
      <c r="J18" s="521"/>
      <c r="K18" s="521"/>
      <c r="L18" s="85"/>
      <c r="M18" s="2"/>
      <c r="N18" s="2"/>
      <c r="O18" s="2"/>
      <c r="P18" s="521"/>
      <c r="Q18" s="521"/>
      <c r="R18" s="2"/>
      <c r="S18" s="2"/>
      <c r="T18" s="2"/>
      <c r="U18" s="2"/>
      <c r="V18" s="521"/>
      <c r="W18" s="522"/>
    </row>
    <row r="19" spans="1:23" s="29" customFormat="1" x14ac:dyDescent="0.25">
      <c r="A19" s="24"/>
      <c r="B19" s="713" t="s">
        <v>6</v>
      </c>
      <c r="C19" s="713"/>
      <c r="D19" s="713" t="s">
        <v>16</v>
      </c>
      <c r="E19" s="714"/>
      <c r="F19" s="25"/>
      <c r="G19" s="26"/>
      <c r="H19" s="715" t="s">
        <v>6</v>
      </c>
      <c r="I19" s="715"/>
      <c r="J19" s="715" t="s">
        <v>16</v>
      </c>
      <c r="K19" s="716"/>
      <c r="L19" s="77"/>
      <c r="M19" s="27"/>
      <c r="N19" s="786" t="s">
        <v>6</v>
      </c>
      <c r="O19" s="786"/>
      <c r="P19" s="786" t="s">
        <v>16</v>
      </c>
      <c r="Q19" s="787"/>
      <c r="R19" s="25"/>
      <c r="S19" s="28"/>
      <c r="T19" s="784" t="s">
        <v>6</v>
      </c>
      <c r="U19" s="784"/>
      <c r="V19" s="784" t="s">
        <v>16</v>
      </c>
      <c r="W19" s="785"/>
    </row>
    <row r="20" spans="1:23" x14ac:dyDescent="0.25">
      <c r="A20" s="30">
        <f>S17+$J$7+R5</f>
        <v>0.42222222222222228</v>
      </c>
      <c r="B20" s="31" t="str">
        <f>B10</f>
        <v>Equipe 1</v>
      </c>
      <c r="C20" s="31" t="str">
        <f>B12</f>
        <v>Equipe 3</v>
      </c>
      <c r="D20" s="53"/>
      <c r="E20" s="54"/>
      <c r="F20" s="2"/>
      <c r="G20" s="32">
        <f>A21+$J$7+R5</f>
        <v>0.44583333333333341</v>
      </c>
      <c r="H20" s="33" t="str">
        <f>H10</f>
        <v>Equipe 5</v>
      </c>
      <c r="I20" s="33" t="str">
        <f>H12</f>
        <v>Equipe 7</v>
      </c>
      <c r="J20" s="57"/>
      <c r="K20" s="58"/>
      <c r="L20" s="76"/>
      <c r="M20" s="34">
        <f>S17+$J$7+R5</f>
        <v>0.42222222222222228</v>
      </c>
      <c r="N20" s="35" t="str">
        <f>N10</f>
        <v>Equipe 9</v>
      </c>
      <c r="O20" s="35" t="str">
        <f>N12</f>
        <v>Equipe 11</v>
      </c>
      <c r="P20" s="61"/>
      <c r="Q20" s="62"/>
      <c r="R20" s="2"/>
      <c r="S20" s="36">
        <f>M21+$J$7+R5</f>
        <v>0.44583333333333341</v>
      </c>
      <c r="T20" s="37" t="str">
        <f>T10</f>
        <v>Equipe 13</v>
      </c>
      <c r="U20" s="37" t="str">
        <f>T12</f>
        <v>Equipe 15</v>
      </c>
      <c r="V20" s="65"/>
      <c r="W20" s="66"/>
    </row>
    <row r="21" spans="1:23" ht="15.75" thickBot="1" x14ac:dyDescent="0.3">
      <c r="A21" s="38">
        <f>A20+$J$7+R5</f>
        <v>0.43402777777777785</v>
      </c>
      <c r="B21" s="39" t="str">
        <f>B11</f>
        <v>Equipe 2</v>
      </c>
      <c r="C21" s="39" t="str">
        <f>B13</f>
        <v>Equipe 4</v>
      </c>
      <c r="D21" s="55"/>
      <c r="E21" s="56"/>
      <c r="F21" s="2"/>
      <c r="G21" s="40">
        <f>G20+$J$7+R5</f>
        <v>0.45763888888888898</v>
      </c>
      <c r="H21" s="41" t="str">
        <f>H11</f>
        <v>Equipe 6</v>
      </c>
      <c r="I21" s="41" t="str">
        <f>H13</f>
        <v>Equipe 8</v>
      </c>
      <c r="J21" s="59"/>
      <c r="K21" s="60"/>
      <c r="L21" s="76"/>
      <c r="M21" s="42">
        <f>M20+$J$7+R5</f>
        <v>0.43402777777777785</v>
      </c>
      <c r="N21" s="43" t="str">
        <f>N11</f>
        <v>Equipe 10</v>
      </c>
      <c r="O21" s="43" t="str">
        <f>N13</f>
        <v>Equipe 12</v>
      </c>
      <c r="P21" s="63"/>
      <c r="Q21" s="64"/>
      <c r="R21" s="2"/>
      <c r="S21" s="44">
        <f>S20+$J$7+R5</f>
        <v>0.45763888888888898</v>
      </c>
      <c r="T21" s="45" t="str">
        <f>T11</f>
        <v>Equipe 14</v>
      </c>
      <c r="U21" s="45" t="str">
        <f>T13</f>
        <v>Equipe 16</v>
      </c>
      <c r="V21" s="67"/>
      <c r="W21" s="68"/>
    </row>
    <row r="22" spans="1:23" ht="5.0999999999999996" customHeight="1" thickBot="1" x14ac:dyDescent="0.3">
      <c r="A22" s="19"/>
      <c r="B22" s="2"/>
      <c r="C22" s="2"/>
      <c r="D22" s="521"/>
      <c r="E22" s="521"/>
      <c r="F22" s="2"/>
      <c r="G22" s="2"/>
      <c r="H22" s="2"/>
      <c r="I22" s="47"/>
      <c r="J22" s="521"/>
      <c r="K22" s="521"/>
      <c r="L22" s="85"/>
      <c r="M22" s="2"/>
      <c r="N22" s="2"/>
      <c r="O22" s="2"/>
      <c r="P22" s="521"/>
      <c r="Q22" s="521"/>
      <c r="R22" s="2"/>
      <c r="S22" s="2"/>
      <c r="T22" s="2"/>
      <c r="U22" s="2"/>
      <c r="V22" s="521"/>
      <c r="W22" s="522"/>
    </row>
    <row r="23" spans="1:23" s="29" customFormat="1" x14ac:dyDescent="0.25">
      <c r="A23" s="24"/>
      <c r="B23" s="713" t="s">
        <v>7</v>
      </c>
      <c r="C23" s="713"/>
      <c r="D23" s="713" t="s">
        <v>16</v>
      </c>
      <c r="E23" s="714"/>
      <c r="F23" s="25"/>
      <c r="G23" s="26"/>
      <c r="H23" s="715" t="s">
        <v>7</v>
      </c>
      <c r="I23" s="715"/>
      <c r="J23" s="715" t="s">
        <v>16</v>
      </c>
      <c r="K23" s="716"/>
      <c r="L23" s="77"/>
      <c r="M23" s="27"/>
      <c r="N23" s="786" t="s">
        <v>7</v>
      </c>
      <c r="O23" s="786"/>
      <c r="P23" s="786" t="s">
        <v>16</v>
      </c>
      <c r="Q23" s="787"/>
      <c r="R23" s="25"/>
      <c r="S23" s="28"/>
      <c r="T23" s="784" t="s">
        <v>7</v>
      </c>
      <c r="U23" s="784"/>
      <c r="V23" s="784" t="s">
        <v>16</v>
      </c>
      <c r="W23" s="785"/>
    </row>
    <row r="24" spans="1:23" x14ac:dyDescent="0.25">
      <c r="A24" s="30">
        <f>G21+$J$7+R5</f>
        <v>0.46944444444444455</v>
      </c>
      <c r="B24" s="31" t="str">
        <f>B10</f>
        <v>Equipe 1</v>
      </c>
      <c r="C24" s="31" t="str">
        <f>B13</f>
        <v>Equipe 4</v>
      </c>
      <c r="D24" s="53"/>
      <c r="E24" s="54"/>
      <c r="F24" s="2"/>
      <c r="G24" s="32">
        <f>A25+$J$7+R5</f>
        <v>0.49305555555555569</v>
      </c>
      <c r="H24" s="33" t="str">
        <f>H10</f>
        <v>Equipe 5</v>
      </c>
      <c r="I24" s="33" t="str">
        <f>H13</f>
        <v>Equipe 8</v>
      </c>
      <c r="J24" s="57"/>
      <c r="K24" s="58"/>
      <c r="L24" s="76"/>
      <c r="M24" s="34">
        <f>S21+$J$7+R5</f>
        <v>0.46944444444444455</v>
      </c>
      <c r="N24" s="35" t="str">
        <f>N10</f>
        <v>Equipe 9</v>
      </c>
      <c r="O24" s="35" t="str">
        <f>N13</f>
        <v>Equipe 12</v>
      </c>
      <c r="P24" s="61"/>
      <c r="Q24" s="62"/>
      <c r="R24" s="2"/>
      <c r="S24" s="36">
        <f>M25+$J$7+R5</f>
        <v>0.49305555555555569</v>
      </c>
      <c r="T24" s="37" t="str">
        <f>T10</f>
        <v>Equipe 13</v>
      </c>
      <c r="U24" s="37" t="str">
        <f>T13</f>
        <v>Equipe 16</v>
      </c>
      <c r="V24" s="65"/>
      <c r="W24" s="66"/>
    </row>
    <row r="25" spans="1:23" ht="15.75" thickBot="1" x14ac:dyDescent="0.3">
      <c r="A25" s="38">
        <f>A24+$J$7+R5</f>
        <v>0.48125000000000012</v>
      </c>
      <c r="B25" s="39" t="str">
        <f>B11</f>
        <v>Equipe 2</v>
      </c>
      <c r="C25" s="39" t="str">
        <f>B12</f>
        <v>Equipe 3</v>
      </c>
      <c r="D25" s="55"/>
      <c r="E25" s="56"/>
      <c r="F25" s="47"/>
      <c r="G25" s="40">
        <f>G24+$J$7+R5</f>
        <v>0.5048611111111112</v>
      </c>
      <c r="H25" s="41" t="str">
        <f>H11</f>
        <v>Equipe 6</v>
      </c>
      <c r="I25" s="41" t="str">
        <f>H12</f>
        <v>Equipe 7</v>
      </c>
      <c r="J25" s="59"/>
      <c r="K25" s="60"/>
      <c r="L25" s="78"/>
      <c r="M25" s="42">
        <f>M24+$J$7+R5</f>
        <v>0.48125000000000012</v>
      </c>
      <c r="N25" s="43" t="str">
        <f>N11</f>
        <v>Equipe 10</v>
      </c>
      <c r="O25" s="43" t="str">
        <f>N12</f>
        <v>Equipe 11</v>
      </c>
      <c r="P25" s="63"/>
      <c r="Q25" s="64"/>
      <c r="R25" s="47"/>
      <c r="S25" s="44">
        <f>S24+$J$7+R5</f>
        <v>0.5048611111111112</v>
      </c>
      <c r="T25" s="45" t="str">
        <f>T11</f>
        <v>Equipe 14</v>
      </c>
      <c r="U25" s="45" t="str">
        <f>T12</f>
        <v>Equipe 15</v>
      </c>
      <c r="V25" s="67"/>
      <c r="W25" s="68"/>
    </row>
    <row r="26" spans="1:23" ht="5.0999999999999996" customHeight="1" thickBot="1" x14ac:dyDescent="0.3">
      <c r="A26" s="118"/>
      <c r="B26" s="119"/>
      <c r="C26" s="119"/>
      <c r="D26" s="173"/>
      <c r="E26" s="173"/>
      <c r="F26" s="89"/>
      <c r="G26" s="120"/>
      <c r="H26" s="119"/>
      <c r="I26" s="119"/>
      <c r="J26" s="173"/>
      <c r="K26" s="173"/>
      <c r="L26" s="89"/>
      <c r="M26" s="120"/>
      <c r="N26" s="119"/>
      <c r="O26" s="119"/>
      <c r="P26" s="173"/>
      <c r="Q26" s="173"/>
      <c r="R26" s="89"/>
      <c r="S26" s="532"/>
      <c r="T26" s="530"/>
      <c r="U26" s="530"/>
      <c r="V26" s="116"/>
      <c r="W26" s="117"/>
    </row>
    <row r="27" spans="1:23" ht="16.5" thickBot="1" x14ac:dyDescent="0.3">
      <c r="A27" s="783" t="s">
        <v>60</v>
      </c>
      <c r="B27" s="762"/>
      <c r="C27" s="762"/>
      <c r="D27" s="762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3"/>
    </row>
    <row r="28" spans="1:23" x14ac:dyDescent="0.25">
      <c r="A28" s="81" t="s">
        <v>21</v>
      </c>
      <c r="B28" s="711" t="s">
        <v>41</v>
      </c>
      <c r="C28" s="711"/>
      <c r="D28" s="711" t="s">
        <v>15</v>
      </c>
      <c r="E28" s="712"/>
      <c r="F28" s="122"/>
      <c r="G28" s="81" t="s">
        <v>21</v>
      </c>
      <c r="H28" s="711" t="s">
        <v>42</v>
      </c>
      <c r="I28" s="711"/>
      <c r="J28" s="711" t="s">
        <v>15</v>
      </c>
      <c r="K28" s="712"/>
      <c r="L28" s="75"/>
      <c r="M28" s="81" t="s">
        <v>21</v>
      </c>
      <c r="N28" s="711" t="s">
        <v>43</v>
      </c>
      <c r="O28" s="711"/>
      <c r="P28" s="711" t="s">
        <v>15</v>
      </c>
      <c r="Q28" s="712"/>
      <c r="R28" s="122"/>
      <c r="S28" s="81" t="s">
        <v>21</v>
      </c>
      <c r="T28" s="711" t="s">
        <v>55</v>
      </c>
      <c r="U28" s="711"/>
      <c r="V28" s="711" t="s">
        <v>15</v>
      </c>
      <c r="W28" s="712"/>
    </row>
    <row r="29" spans="1:23" x14ac:dyDescent="0.25">
      <c r="A29" s="49">
        <v>1</v>
      </c>
      <c r="B29" s="680" t="str">
        <f>VLOOKUP($A29,$A$135:$D$138,2,FALSE)</f>
        <v>Equipe 1</v>
      </c>
      <c r="C29" s="680"/>
      <c r="D29" s="683">
        <f>VLOOKUP($A29,$A$135:$D$138,4,FALSE)</f>
        <v>3.9999999999999998E-7</v>
      </c>
      <c r="E29" s="684"/>
      <c r="F29" s="105"/>
      <c r="G29" s="49">
        <v>1</v>
      </c>
      <c r="H29" s="680" t="str">
        <f>VLOOKUP($G29,$G$135:$J$138,2,FALSE)</f>
        <v>Equipe 5</v>
      </c>
      <c r="I29" s="680"/>
      <c r="J29" s="681">
        <f>VLOOKUP($G29,$G$135:$J$138,4,FALSE)</f>
        <v>3.9999999999999998E-7</v>
      </c>
      <c r="K29" s="682"/>
      <c r="L29" s="76"/>
      <c r="M29" s="49">
        <v>1</v>
      </c>
      <c r="N29" s="680" t="str">
        <f>VLOOKUP($M29,$M$135:$P$138,2,FALSE)</f>
        <v>Equipe 9</v>
      </c>
      <c r="O29" s="680"/>
      <c r="P29" s="681">
        <f>VLOOKUP($M29,$M$135:$P$138,4,FALSE)</f>
        <v>3.9999999999999998E-7</v>
      </c>
      <c r="Q29" s="682"/>
      <c r="R29" s="105"/>
      <c r="S29" s="49">
        <v>1</v>
      </c>
      <c r="T29" s="680" t="str">
        <f>VLOOKUP($S29,$S$135:$V$138,2,FALSE)</f>
        <v>Equipe 13</v>
      </c>
      <c r="U29" s="680"/>
      <c r="V29" s="681">
        <f>VLOOKUP($S29,$S$135:$V$138,4,FALSE)</f>
        <v>3.9999999999999998E-7</v>
      </c>
      <c r="W29" s="682"/>
    </row>
    <row r="30" spans="1:23" x14ac:dyDescent="0.25">
      <c r="A30" s="49">
        <v>2</v>
      </c>
      <c r="B30" s="680" t="str">
        <f>VLOOKUP($A30,$A$135:$D$138,2,FALSE)</f>
        <v>Equipe 2</v>
      </c>
      <c r="C30" s="680"/>
      <c r="D30" s="683">
        <f>VLOOKUP($A30,$A$135:$D$138,4,FALSE)</f>
        <v>2.9999999999999999E-7</v>
      </c>
      <c r="E30" s="684"/>
      <c r="F30" s="105"/>
      <c r="G30" s="49">
        <v>2</v>
      </c>
      <c r="H30" s="680" t="str">
        <f>VLOOKUP($G30,$G$135:$J$138,2,FALSE)</f>
        <v>Equipe 6</v>
      </c>
      <c r="I30" s="680"/>
      <c r="J30" s="681">
        <f>VLOOKUP($G30,$G$135:$J$138,4,FALSE)</f>
        <v>2.9999999999999999E-7</v>
      </c>
      <c r="K30" s="682"/>
      <c r="L30" s="76"/>
      <c r="M30" s="49">
        <v>2</v>
      </c>
      <c r="N30" s="680" t="str">
        <f>VLOOKUP($M30,$M$135:$P$138,2,FALSE)</f>
        <v>Equipe 10</v>
      </c>
      <c r="O30" s="680"/>
      <c r="P30" s="681">
        <f>VLOOKUP($M30,$M$135:$P$138,4,FALSE)</f>
        <v>2.9999999999999999E-7</v>
      </c>
      <c r="Q30" s="682"/>
      <c r="R30" s="105"/>
      <c r="S30" s="49">
        <v>2</v>
      </c>
      <c r="T30" s="680" t="str">
        <f>VLOOKUP($S30,$S$135:$V$138,2,FALSE)</f>
        <v>Equipe 14</v>
      </c>
      <c r="U30" s="680"/>
      <c r="V30" s="681">
        <f>VLOOKUP($S30,$S$135:$V$138,4,FALSE)</f>
        <v>2.9999999999999999E-7</v>
      </c>
      <c r="W30" s="682"/>
    </row>
    <row r="31" spans="1:23" x14ac:dyDescent="0.25">
      <c r="A31" s="49">
        <v>3</v>
      </c>
      <c r="B31" s="680" t="str">
        <f>VLOOKUP($A31,$A$135:$D$138,2,FALSE)</f>
        <v>Equipe 3</v>
      </c>
      <c r="C31" s="680"/>
      <c r="D31" s="683">
        <f>VLOOKUP($A31,$A$135:$D$138,4,FALSE)</f>
        <v>1.9999999999999999E-7</v>
      </c>
      <c r="E31" s="684"/>
      <c r="F31" s="105"/>
      <c r="G31" s="49">
        <v>3</v>
      </c>
      <c r="H31" s="680" t="str">
        <f>VLOOKUP($G31,$G$135:$J$138,2,FALSE)</f>
        <v>Equipe 7</v>
      </c>
      <c r="I31" s="680"/>
      <c r="J31" s="681">
        <f>VLOOKUP($G31,$G$135:$J$138,4,FALSE)</f>
        <v>1.9999999999999999E-7</v>
      </c>
      <c r="K31" s="682"/>
      <c r="L31" s="76"/>
      <c r="M31" s="49">
        <v>3</v>
      </c>
      <c r="N31" s="680" t="str">
        <f>VLOOKUP($M31,$M$135:$P$138,2,FALSE)</f>
        <v>Equipe 11</v>
      </c>
      <c r="O31" s="680"/>
      <c r="P31" s="681">
        <f>VLOOKUP($M31,$M$135:$P$138,4,FALSE)</f>
        <v>1.9999999999999999E-7</v>
      </c>
      <c r="Q31" s="682"/>
      <c r="R31" s="105"/>
      <c r="S31" s="49">
        <v>3</v>
      </c>
      <c r="T31" s="680" t="str">
        <f>VLOOKUP($S31,$S$135:$V$138,2,FALSE)</f>
        <v>Equipe 15</v>
      </c>
      <c r="U31" s="680"/>
      <c r="V31" s="681">
        <f>VLOOKUP($S31,$S$135:$V$138,4,FALSE)</f>
        <v>1.9999999999999999E-7</v>
      </c>
      <c r="W31" s="682"/>
    </row>
    <row r="32" spans="1:23" ht="15.75" thickBot="1" x14ac:dyDescent="0.3">
      <c r="A32" s="50">
        <v>4</v>
      </c>
      <c r="B32" s="706" t="str">
        <f>VLOOKUP($A32,$A$135:$D$138,2,FALSE)</f>
        <v>Equipe 4</v>
      </c>
      <c r="C32" s="706"/>
      <c r="D32" s="707">
        <f>VLOOKUP($A32,$A$135:$D$138,4,FALSE)</f>
        <v>9.9999999999999995E-8</v>
      </c>
      <c r="E32" s="708"/>
      <c r="F32" s="123"/>
      <c r="G32" s="50">
        <v>4</v>
      </c>
      <c r="H32" s="706" t="str">
        <f>VLOOKUP($G32,$G$135:$J$138,2,FALSE)</f>
        <v>Equipe 8</v>
      </c>
      <c r="I32" s="706"/>
      <c r="J32" s="709">
        <f>VLOOKUP($G32,$G$135:$J$138,4,FALSE)</f>
        <v>9.9999999999999995E-8</v>
      </c>
      <c r="K32" s="710"/>
      <c r="L32" s="78"/>
      <c r="M32" s="50">
        <v>4</v>
      </c>
      <c r="N32" s="706" t="str">
        <f>VLOOKUP($M32,$M$135:$P$138,2,FALSE)</f>
        <v>Equipe 12</v>
      </c>
      <c r="O32" s="706"/>
      <c r="P32" s="709">
        <f>VLOOKUP($M32,$M$135:$P$138,4,FALSE)</f>
        <v>9.9999999999999995E-8</v>
      </c>
      <c r="Q32" s="710"/>
      <c r="R32" s="123"/>
      <c r="S32" s="50">
        <v>4</v>
      </c>
      <c r="T32" s="706" t="str">
        <f>VLOOKUP($S32,$S$135:$V$138,2,FALSE)</f>
        <v>Equipe 16</v>
      </c>
      <c r="U32" s="706"/>
      <c r="V32" s="709">
        <f>VLOOKUP($S32,$S$135:$V$138,4,FALSE)</f>
        <v>9.9999999999999995E-8</v>
      </c>
      <c r="W32" s="710"/>
    </row>
    <row r="33" spans="1:24" ht="15.75" thickBot="1" x14ac:dyDescent="0.3">
      <c r="A33" s="703" t="s">
        <v>34</v>
      </c>
      <c r="B33" s="704"/>
      <c r="C33" s="704"/>
      <c r="D33" s="704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704"/>
      <c r="R33" s="704"/>
      <c r="S33" s="704"/>
      <c r="T33" s="704"/>
      <c r="U33" s="704"/>
      <c r="V33" s="704"/>
      <c r="W33" s="705"/>
    </row>
    <row r="34" spans="1:24" ht="16.5" thickBot="1" x14ac:dyDescent="0.3">
      <c r="A34" s="780" t="s">
        <v>250</v>
      </c>
      <c r="B34" s="686"/>
      <c r="C34" s="686"/>
      <c r="D34" s="686"/>
      <c r="E34" s="686"/>
      <c r="F34" s="686"/>
      <c r="G34" s="686"/>
      <c r="H34" s="686"/>
      <c r="I34" s="686"/>
      <c r="J34" s="686"/>
      <c r="K34" s="781"/>
      <c r="L34" s="446"/>
      <c r="M34" s="780" t="s">
        <v>251</v>
      </c>
      <c r="N34" s="686"/>
      <c r="O34" s="686"/>
      <c r="P34" s="686"/>
      <c r="Q34" s="686"/>
      <c r="R34" s="686"/>
      <c r="S34" s="686"/>
      <c r="T34" s="686"/>
      <c r="U34" s="686"/>
      <c r="V34" s="686"/>
      <c r="W34" s="781"/>
    </row>
    <row r="35" spans="1:24" ht="24.95" customHeight="1" x14ac:dyDescent="0.25">
      <c r="A35" s="125"/>
      <c r="B35" s="912" t="s">
        <v>91</v>
      </c>
      <c r="C35" s="935"/>
      <c r="D35" s="912" t="s">
        <v>15</v>
      </c>
      <c r="E35" s="914"/>
      <c r="F35" s="102"/>
      <c r="G35" s="124"/>
      <c r="H35" s="915" t="s">
        <v>92</v>
      </c>
      <c r="I35" s="936"/>
      <c r="J35" s="915" t="s">
        <v>15</v>
      </c>
      <c r="K35" s="917"/>
      <c r="L35" s="76"/>
      <c r="M35" s="97"/>
      <c r="N35" s="852" t="s">
        <v>264</v>
      </c>
      <c r="O35" s="937"/>
      <c r="P35" s="852" t="s">
        <v>15</v>
      </c>
      <c r="Q35" s="853"/>
      <c r="R35" s="2"/>
      <c r="S35" s="83"/>
      <c r="T35" s="850" t="s">
        <v>265</v>
      </c>
      <c r="U35" s="938"/>
      <c r="V35" s="850" t="s">
        <v>15</v>
      </c>
      <c r="W35" s="851"/>
    </row>
    <row r="36" spans="1:24" ht="16.350000000000001" customHeight="1" x14ac:dyDescent="0.25">
      <c r="A36" s="10">
        <v>1</v>
      </c>
      <c r="B36" s="731" t="s">
        <v>93</v>
      </c>
      <c r="C36" s="732"/>
      <c r="D36" s="725">
        <f>A166+A170+A174+C161/1000000</f>
        <v>0</v>
      </c>
      <c r="E36" s="726"/>
      <c r="F36" s="103"/>
      <c r="G36" s="11">
        <v>1</v>
      </c>
      <c r="H36" s="727" t="s">
        <v>97</v>
      </c>
      <c r="I36" s="728"/>
      <c r="J36" s="729">
        <f>G166+G170+G174+I161/1000000</f>
        <v>0</v>
      </c>
      <c r="K36" s="730"/>
      <c r="L36" s="76"/>
      <c r="M36" s="12">
        <v>1</v>
      </c>
      <c r="N36" s="800" t="s">
        <v>266</v>
      </c>
      <c r="O36" s="801"/>
      <c r="P36" s="802">
        <f>M166+M170+M174+O161/1000000</f>
        <v>0</v>
      </c>
      <c r="Q36" s="803"/>
      <c r="R36" s="2"/>
      <c r="S36" s="13">
        <v>1</v>
      </c>
      <c r="T36" s="796" t="s">
        <v>270</v>
      </c>
      <c r="U36" s="797"/>
      <c r="V36" s="798">
        <f>S166+S170+S174+U161/1000000</f>
        <v>0</v>
      </c>
      <c r="W36" s="799"/>
      <c r="X36" s="74"/>
    </row>
    <row r="37" spans="1:24" ht="16.350000000000001" customHeight="1" x14ac:dyDescent="0.25">
      <c r="A37" s="10">
        <v>2</v>
      </c>
      <c r="B37" s="731" t="s">
        <v>94</v>
      </c>
      <c r="C37" s="732"/>
      <c r="D37" s="725">
        <f>B166+A171+A175+C162/1000000</f>
        <v>0</v>
      </c>
      <c r="E37" s="726"/>
      <c r="F37" s="103"/>
      <c r="G37" s="11">
        <v>2</v>
      </c>
      <c r="H37" s="727" t="s">
        <v>98</v>
      </c>
      <c r="I37" s="728"/>
      <c r="J37" s="729">
        <f>H166+G171+G175+I162/1000000</f>
        <v>0</v>
      </c>
      <c r="K37" s="730"/>
      <c r="L37" s="76"/>
      <c r="M37" s="12">
        <v>2</v>
      </c>
      <c r="N37" s="800" t="s">
        <v>267</v>
      </c>
      <c r="O37" s="801"/>
      <c r="P37" s="802">
        <f>N166+M171+M175+O162/1000000</f>
        <v>0</v>
      </c>
      <c r="Q37" s="803"/>
      <c r="R37" s="2"/>
      <c r="S37" s="13">
        <v>2</v>
      </c>
      <c r="T37" s="796" t="s">
        <v>271</v>
      </c>
      <c r="U37" s="797"/>
      <c r="V37" s="798">
        <f>T166+S171+S175+U162/1000000</f>
        <v>0</v>
      </c>
      <c r="W37" s="799"/>
      <c r="X37" s="74"/>
    </row>
    <row r="38" spans="1:24" ht="16.350000000000001" customHeight="1" x14ac:dyDescent="0.25">
      <c r="A38" s="10">
        <v>3</v>
      </c>
      <c r="B38" s="731" t="s">
        <v>95</v>
      </c>
      <c r="C38" s="732"/>
      <c r="D38" s="725">
        <f>A167+B170+B175+C163/1000000</f>
        <v>0</v>
      </c>
      <c r="E38" s="726"/>
      <c r="F38" s="103"/>
      <c r="G38" s="11">
        <v>3</v>
      </c>
      <c r="H38" s="727" t="s">
        <v>99</v>
      </c>
      <c r="I38" s="728"/>
      <c r="J38" s="729">
        <f>G167+H170+H175+I163/1000000</f>
        <v>0</v>
      </c>
      <c r="K38" s="730"/>
      <c r="L38" s="76"/>
      <c r="M38" s="12">
        <v>3</v>
      </c>
      <c r="N38" s="800" t="s">
        <v>268</v>
      </c>
      <c r="O38" s="801"/>
      <c r="P38" s="802">
        <f>M167+N170+N175+O163/1000000</f>
        <v>0</v>
      </c>
      <c r="Q38" s="803"/>
      <c r="R38" s="2"/>
      <c r="S38" s="13">
        <v>3</v>
      </c>
      <c r="T38" s="796" t="s">
        <v>272</v>
      </c>
      <c r="U38" s="797"/>
      <c r="V38" s="798">
        <f>S167+T170+T175+U163/1000000</f>
        <v>0</v>
      </c>
      <c r="W38" s="799"/>
    </row>
    <row r="39" spans="1:24" ht="16.350000000000001" customHeight="1" thickBot="1" x14ac:dyDescent="0.3">
      <c r="A39" s="15">
        <v>4</v>
      </c>
      <c r="B39" s="717" t="s">
        <v>96</v>
      </c>
      <c r="C39" s="718"/>
      <c r="D39" s="719">
        <f>B167+B171+B174+C164/1000000</f>
        <v>0</v>
      </c>
      <c r="E39" s="720"/>
      <c r="F39" s="103"/>
      <c r="G39" s="16">
        <v>4</v>
      </c>
      <c r="H39" s="721" t="s">
        <v>100</v>
      </c>
      <c r="I39" s="722"/>
      <c r="J39" s="723">
        <f>H167+H171+H174+I164/1000000</f>
        <v>0</v>
      </c>
      <c r="K39" s="724"/>
      <c r="L39" s="76"/>
      <c r="M39" s="17">
        <v>4</v>
      </c>
      <c r="N39" s="792" t="s">
        <v>269</v>
      </c>
      <c r="O39" s="793"/>
      <c r="P39" s="794">
        <f>N167+N171+N174+O164/1000000</f>
        <v>0</v>
      </c>
      <c r="Q39" s="795"/>
      <c r="R39" s="2"/>
      <c r="S39" s="18">
        <v>4</v>
      </c>
      <c r="T39" s="788" t="s">
        <v>273</v>
      </c>
      <c r="U39" s="789"/>
      <c r="V39" s="790">
        <f>T167+T171+T174+U164/1000000</f>
        <v>0</v>
      </c>
      <c r="W39" s="791"/>
    </row>
    <row r="40" spans="1:24" ht="5.0999999999999996" customHeight="1" thickBot="1" x14ac:dyDescent="0.3">
      <c r="A40" s="19"/>
      <c r="B40" s="2"/>
      <c r="C40" s="2"/>
      <c r="D40" s="2"/>
      <c r="E40" s="2"/>
      <c r="F40" s="2"/>
      <c r="G40" s="2"/>
      <c r="H40" s="2"/>
      <c r="I40" s="22"/>
      <c r="J40" s="2"/>
      <c r="K40" s="2"/>
      <c r="L40" s="85"/>
      <c r="M40" s="2"/>
      <c r="N40" s="2"/>
      <c r="O40" s="2"/>
      <c r="P40" s="2"/>
      <c r="Q40" s="2"/>
      <c r="R40" s="2"/>
      <c r="S40" s="2"/>
      <c r="T40" s="2"/>
      <c r="U40" s="2"/>
      <c r="V40" s="2"/>
      <c r="W40" s="21"/>
    </row>
    <row r="41" spans="1:24" x14ac:dyDescent="0.25">
      <c r="A41" s="24"/>
      <c r="B41" s="713" t="s">
        <v>5</v>
      </c>
      <c r="C41" s="713"/>
      <c r="D41" s="713" t="s">
        <v>16</v>
      </c>
      <c r="E41" s="714"/>
      <c r="F41" s="25"/>
      <c r="G41" s="26"/>
      <c r="H41" s="715" t="s">
        <v>5</v>
      </c>
      <c r="I41" s="715"/>
      <c r="J41" s="715" t="s">
        <v>16</v>
      </c>
      <c r="K41" s="716"/>
      <c r="L41" s="77"/>
      <c r="M41" s="27"/>
      <c r="N41" s="786" t="s">
        <v>5</v>
      </c>
      <c r="O41" s="786"/>
      <c r="P41" s="786" t="s">
        <v>16</v>
      </c>
      <c r="Q41" s="787"/>
      <c r="R41" s="25"/>
      <c r="S41" s="28"/>
      <c r="T41" s="784" t="s">
        <v>5</v>
      </c>
      <c r="U41" s="784"/>
      <c r="V41" s="784" t="s">
        <v>16</v>
      </c>
      <c r="W41" s="785"/>
    </row>
    <row r="42" spans="1:24" ht="14.45" customHeight="1" x14ac:dyDescent="0.25">
      <c r="A42" s="30">
        <f>E4</f>
        <v>0.375</v>
      </c>
      <c r="B42" s="31" t="str">
        <f>B36</f>
        <v>Equipe 17</v>
      </c>
      <c r="C42" s="31" t="str">
        <f>B37</f>
        <v>Equipe 18</v>
      </c>
      <c r="D42" s="53"/>
      <c r="E42" s="54"/>
      <c r="F42" s="2"/>
      <c r="G42" s="32">
        <f>A43+$J$7+R5</f>
        <v>0.39861111111111114</v>
      </c>
      <c r="H42" s="33" t="str">
        <f>H36</f>
        <v>Equipe 21</v>
      </c>
      <c r="I42" s="33" t="str">
        <f>H37</f>
        <v>Equipe 22</v>
      </c>
      <c r="J42" s="57"/>
      <c r="K42" s="58"/>
      <c r="L42" s="76"/>
      <c r="M42" s="34">
        <f>E4</f>
        <v>0.375</v>
      </c>
      <c r="N42" s="35" t="str">
        <f>N36</f>
        <v>Equipe 25</v>
      </c>
      <c r="O42" s="35" t="str">
        <f>N37</f>
        <v>Equipe 26</v>
      </c>
      <c r="P42" s="61"/>
      <c r="Q42" s="62"/>
      <c r="R42" s="2"/>
      <c r="S42" s="36">
        <f>M43+$J$7+R5</f>
        <v>0.39861111111111114</v>
      </c>
      <c r="T42" s="37" t="str">
        <f>T36</f>
        <v>Equipe 29</v>
      </c>
      <c r="U42" s="37" t="str">
        <f>T37</f>
        <v>Equipe 30</v>
      </c>
      <c r="V42" s="65"/>
      <c r="W42" s="66"/>
    </row>
    <row r="43" spans="1:24" ht="14.45" customHeight="1" thickBot="1" x14ac:dyDescent="0.3">
      <c r="A43" s="38">
        <f>A42+$J$7+R5</f>
        <v>0.38680555555555557</v>
      </c>
      <c r="B43" s="39" t="str">
        <f>B38</f>
        <v>Equipe 19</v>
      </c>
      <c r="C43" s="39" t="str">
        <f>B39</f>
        <v>Equipe 20</v>
      </c>
      <c r="D43" s="55"/>
      <c r="E43" s="56"/>
      <c r="F43" s="2"/>
      <c r="G43" s="40">
        <f>G42+$J$7+R5</f>
        <v>0.41041666666666671</v>
      </c>
      <c r="H43" s="41" t="str">
        <f>H38</f>
        <v>Equipe 23</v>
      </c>
      <c r="I43" s="41" t="str">
        <f>H39</f>
        <v>Equipe 24</v>
      </c>
      <c r="J43" s="59"/>
      <c r="K43" s="60"/>
      <c r="L43" s="76"/>
      <c r="M43" s="42">
        <f>M42+$J$7+R5</f>
        <v>0.38680555555555557</v>
      </c>
      <c r="N43" s="43" t="str">
        <f>N38</f>
        <v>Equipe 27</v>
      </c>
      <c r="O43" s="43" t="str">
        <f>N39</f>
        <v>Equipe 28</v>
      </c>
      <c r="P43" s="63"/>
      <c r="Q43" s="64"/>
      <c r="R43" s="2"/>
      <c r="S43" s="44">
        <f>S42+$J$7+R5</f>
        <v>0.41041666666666671</v>
      </c>
      <c r="T43" s="45" t="str">
        <f>T38</f>
        <v>Equipe 31</v>
      </c>
      <c r="U43" s="45" t="str">
        <f>T39</f>
        <v>Equipe 32</v>
      </c>
      <c r="V43" s="67"/>
      <c r="W43" s="68"/>
    </row>
    <row r="44" spans="1:24" ht="5.0999999999999996" customHeight="1" thickBot="1" x14ac:dyDescent="0.3">
      <c r="A44" s="19"/>
      <c r="B44" s="2"/>
      <c r="C44" s="2"/>
      <c r="D44" s="521"/>
      <c r="E44" s="521"/>
      <c r="F44" s="2"/>
      <c r="G44" s="2"/>
      <c r="H44" s="2"/>
      <c r="I44" s="47"/>
      <c r="J44" s="521"/>
      <c r="K44" s="521"/>
      <c r="L44" s="85"/>
      <c r="M44" s="2"/>
      <c r="N44" s="2"/>
      <c r="O44" s="2"/>
      <c r="P44" s="521"/>
      <c r="Q44" s="521"/>
      <c r="R44" s="2"/>
      <c r="S44" s="2"/>
      <c r="T44" s="2"/>
      <c r="U44" s="2"/>
      <c r="V44" s="521"/>
      <c r="W44" s="522"/>
    </row>
    <row r="45" spans="1:24" x14ac:dyDescent="0.25">
      <c r="A45" s="24"/>
      <c r="B45" s="713" t="s">
        <v>6</v>
      </c>
      <c r="C45" s="713"/>
      <c r="D45" s="713" t="s">
        <v>16</v>
      </c>
      <c r="E45" s="714"/>
      <c r="F45" s="25"/>
      <c r="G45" s="26"/>
      <c r="H45" s="715" t="s">
        <v>6</v>
      </c>
      <c r="I45" s="715"/>
      <c r="J45" s="715" t="s">
        <v>16</v>
      </c>
      <c r="K45" s="716"/>
      <c r="L45" s="77"/>
      <c r="M45" s="27"/>
      <c r="N45" s="786" t="s">
        <v>6</v>
      </c>
      <c r="O45" s="786"/>
      <c r="P45" s="786" t="s">
        <v>16</v>
      </c>
      <c r="Q45" s="787"/>
      <c r="R45" s="25"/>
      <c r="S45" s="28"/>
      <c r="T45" s="784" t="s">
        <v>6</v>
      </c>
      <c r="U45" s="784"/>
      <c r="V45" s="784" t="s">
        <v>16</v>
      </c>
      <c r="W45" s="785"/>
    </row>
    <row r="46" spans="1:24" ht="14.45" customHeight="1" x14ac:dyDescent="0.25">
      <c r="A46" s="30">
        <f>G43+$J$7+R5</f>
        <v>0.42222222222222228</v>
      </c>
      <c r="B46" s="31" t="str">
        <f>B36</f>
        <v>Equipe 17</v>
      </c>
      <c r="C46" s="31" t="str">
        <f>B38</f>
        <v>Equipe 19</v>
      </c>
      <c r="D46" s="53"/>
      <c r="E46" s="54"/>
      <c r="F46" s="2"/>
      <c r="G46" s="32">
        <f>A47+$J$7+R5</f>
        <v>0.44583333333333341</v>
      </c>
      <c r="H46" s="33" t="str">
        <f>H36</f>
        <v>Equipe 21</v>
      </c>
      <c r="I46" s="33" t="str">
        <f>H38</f>
        <v>Equipe 23</v>
      </c>
      <c r="J46" s="57"/>
      <c r="K46" s="58"/>
      <c r="L46" s="76"/>
      <c r="M46" s="34">
        <f>S43+$J$7+R5</f>
        <v>0.42222222222222228</v>
      </c>
      <c r="N46" s="35" t="str">
        <f>N36</f>
        <v>Equipe 25</v>
      </c>
      <c r="O46" s="35" t="str">
        <f>N38</f>
        <v>Equipe 27</v>
      </c>
      <c r="P46" s="61"/>
      <c r="Q46" s="62"/>
      <c r="R46" s="2"/>
      <c r="S46" s="36">
        <f>M47+$J$7+R5</f>
        <v>0.44583333333333341</v>
      </c>
      <c r="T46" s="37" t="str">
        <f>T36</f>
        <v>Equipe 29</v>
      </c>
      <c r="U46" s="37" t="str">
        <f>T38</f>
        <v>Equipe 31</v>
      </c>
      <c r="V46" s="65"/>
      <c r="W46" s="66"/>
    </row>
    <row r="47" spans="1:24" ht="14.45" customHeight="1" thickBot="1" x14ac:dyDescent="0.3">
      <c r="A47" s="38">
        <f>A46+$J$7+R5</f>
        <v>0.43402777777777785</v>
      </c>
      <c r="B47" s="39" t="str">
        <f>B37</f>
        <v>Equipe 18</v>
      </c>
      <c r="C47" s="39" t="str">
        <f>B39</f>
        <v>Equipe 20</v>
      </c>
      <c r="D47" s="55"/>
      <c r="E47" s="56"/>
      <c r="F47" s="2"/>
      <c r="G47" s="40">
        <f>G46+$J$7+R5</f>
        <v>0.45763888888888898</v>
      </c>
      <c r="H47" s="41" t="str">
        <f>H37</f>
        <v>Equipe 22</v>
      </c>
      <c r="I47" s="41" t="str">
        <f>H39</f>
        <v>Equipe 24</v>
      </c>
      <c r="J47" s="59"/>
      <c r="K47" s="60"/>
      <c r="L47" s="76"/>
      <c r="M47" s="42">
        <f>M46+$J$7+R5</f>
        <v>0.43402777777777785</v>
      </c>
      <c r="N47" s="43" t="str">
        <f>N37</f>
        <v>Equipe 26</v>
      </c>
      <c r="O47" s="43" t="str">
        <f>N39</f>
        <v>Equipe 28</v>
      </c>
      <c r="P47" s="63"/>
      <c r="Q47" s="64"/>
      <c r="R47" s="2"/>
      <c r="S47" s="44">
        <f>S46+$J$7+R5</f>
        <v>0.45763888888888898</v>
      </c>
      <c r="T47" s="45" t="str">
        <f>T37</f>
        <v>Equipe 30</v>
      </c>
      <c r="U47" s="45" t="str">
        <f>T39</f>
        <v>Equipe 32</v>
      </c>
      <c r="V47" s="67"/>
      <c r="W47" s="68"/>
    </row>
    <row r="48" spans="1:24" ht="5.0999999999999996" customHeight="1" thickBot="1" x14ac:dyDescent="0.3">
      <c r="A48" s="19"/>
      <c r="B48" s="2"/>
      <c r="C48" s="2"/>
      <c r="D48" s="521"/>
      <c r="E48" s="521"/>
      <c r="F48" s="2"/>
      <c r="G48" s="2"/>
      <c r="H48" s="2"/>
      <c r="I48" s="47"/>
      <c r="J48" s="521"/>
      <c r="K48" s="521"/>
      <c r="L48" s="85"/>
      <c r="M48" s="2"/>
      <c r="N48" s="2"/>
      <c r="O48" s="2"/>
      <c r="P48" s="521"/>
      <c r="Q48" s="521"/>
      <c r="R48" s="2"/>
      <c r="S48" s="2"/>
      <c r="T48" s="2"/>
      <c r="U48" s="2"/>
      <c r="V48" s="521"/>
      <c r="W48" s="522"/>
    </row>
    <row r="49" spans="1:24" ht="14.45" customHeight="1" x14ac:dyDescent="0.25">
      <c r="A49" s="24"/>
      <c r="B49" s="713" t="s">
        <v>7</v>
      </c>
      <c r="C49" s="713"/>
      <c r="D49" s="713" t="s">
        <v>16</v>
      </c>
      <c r="E49" s="714"/>
      <c r="F49" s="25"/>
      <c r="G49" s="26"/>
      <c r="H49" s="715" t="s">
        <v>7</v>
      </c>
      <c r="I49" s="715"/>
      <c r="J49" s="715" t="s">
        <v>16</v>
      </c>
      <c r="K49" s="716"/>
      <c r="L49" s="77"/>
      <c r="M49" s="27"/>
      <c r="N49" s="786" t="s">
        <v>7</v>
      </c>
      <c r="O49" s="786"/>
      <c r="P49" s="786" t="s">
        <v>16</v>
      </c>
      <c r="Q49" s="787"/>
      <c r="R49" s="25"/>
      <c r="S49" s="28"/>
      <c r="T49" s="784" t="s">
        <v>7</v>
      </c>
      <c r="U49" s="784"/>
      <c r="V49" s="784" t="s">
        <v>16</v>
      </c>
      <c r="W49" s="785"/>
    </row>
    <row r="50" spans="1:24" ht="14.45" customHeight="1" x14ac:dyDescent="0.25">
      <c r="A50" s="30">
        <f>G47+$J$7+R5</f>
        <v>0.46944444444444455</v>
      </c>
      <c r="B50" s="31" t="str">
        <f>B36</f>
        <v>Equipe 17</v>
      </c>
      <c r="C50" s="31" t="str">
        <f>B39</f>
        <v>Equipe 20</v>
      </c>
      <c r="D50" s="53"/>
      <c r="E50" s="54"/>
      <c r="F50" s="2"/>
      <c r="G50" s="32">
        <f>A51+$J$7+R5</f>
        <v>0.49305555555555569</v>
      </c>
      <c r="H50" s="33" t="str">
        <f>H36</f>
        <v>Equipe 21</v>
      </c>
      <c r="I50" s="33" t="str">
        <f>H39</f>
        <v>Equipe 24</v>
      </c>
      <c r="J50" s="57"/>
      <c r="K50" s="58"/>
      <c r="L50" s="76"/>
      <c r="M50" s="34">
        <f>S47+$J$7+R5</f>
        <v>0.46944444444444455</v>
      </c>
      <c r="N50" s="35" t="str">
        <f>N36</f>
        <v>Equipe 25</v>
      </c>
      <c r="O50" s="35" t="str">
        <f>N39</f>
        <v>Equipe 28</v>
      </c>
      <c r="P50" s="61"/>
      <c r="Q50" s="62"/>
      <c r="R50" s="2"/>
      <c r="S50" s="36">
        <f>M51+$J$7+R5</f>
        <v>0.49305555555555569</v>
      </c>
      <c r="T50" s="37" t="str">
        <f>T36</f>
        <v>Equipe 29</v>
      </c>
      <c r="U50" s="37" t="str">
        <f>T39</f>
        <v>Equipe 32</v>
      </c>
      <c r="V50" s="65"/>
      <c r="W50" s="66"/>
    </row>
    <row r="51" spans="1:24" ht="15.75" thickBot="1" x14ac:dyDescent="0.3">
      <c r="A51" s="38">
        <f>A50+$J$7+R5</f>
        <v>0.48125000000000012</v>
      </c>
      <c r="B51" s="39" t="str">
        <f>B37</f>
        <v>Equipe 18</v>
      </c>
      <c r="C51" s="39" t="str">
        <f>B38</f>
        <v>Equipe 19</v>
      </c>
      <c r="D51" s="55"/>
      <c r="E51" s="56"/>
      <c r="F51" s="47"/>
      <c r="G51" s="40">
        <f>G50+$J$7+R5</f>
        <v>0.5048611111111112</v>
      </c>
      <c r="H51" s="41" t="str">
        <f>H37</f>
        <v>Equipe 22</v>
      </c>
      <c r="I51" s="41" t="str">
        <f>H38</f>
        <v>Equipe 23</v>
      </c>
      <c r="J51" s="59"/>
      <c r="K51" s="60"/>
      <c r="L51" s="78"/>
      <c r="M51" s="42">
        <f>M50+$J$7+R5</f>
        <v>0.48125000000000012</v>
      </c>
      <c r="N51" s="43" t="str">
        <f>N37</f>
        <v>Equipe 26</v>
      </c>
      <c r="O51" s="43" t="str">
        <f>N38</f>
        <v>Equipe 27</v>
      </c>
      <c r="P51" s="63"/>
      <c r="Q51" s="64"/>
      <c r="R51" s="47"/>
      <c r="S51" s="44">
        <f>S50+$J$7+R5</f>
        <v>0.5048611111111112</v>
      </c>
      <c r="T51" s="45" t="str">
        <f>T37</f>
        <v>Equipe 30</v>
      </c>
      <c r="U51" s="45" t="str">
        <f>T38</f>
        <v>Equipe 31</v>
      </c>
      <c r="V51" s="67"/>
      <c r="W51" s="68"/>
    </row>
    <row r="52" spans="1:24" ht="14.45" customHeight="1" thickBot="1" x14ac:dyDescent="0.3">
      <c r="A52" s="118"/>
      <c r="B52" s="119"/>
      <c r="C52" s="119"/>
      <c r="D52" s="173"/>
      <c r="E52" s="173"/>
      <c r="F52" s="89"/>
      <c r="G52" s="120"/>
      <c r="H52" s="119"/>
      <c r="I52" s="119"/>
      <c r="J52" s="173"/>
      <c r="K52" s="173"/>
      <c r="L52" s="89"/>
      <c r="M52" s="120"/>
      <c r="N52" s="119"/>
      <c r="O52" s="119"/>
      <c r="P52" s="173"/>
      <c r="Q52" s="173"/>
      <c r="R52" s="89"/>
      <c r="S52" s="532"/>
      <c r="T52" s="530"/>
      <c r="U52" s="530"/>
      <c r="V52" s="116"/>
      <c r="W52" s="117"/>
    </row>
    <row r="53" spans="1:24" ht="14.45" customHeight="1" thickBot="1" x14ac:dyDescent="0.3">
      <c r="A53" s="783" t="s">
        <v>60</v>
      </c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2"/>
      <c r="R53" s="762"/>
      <c r="S53" s="762"/>
      <c r="T53" s="762"/>
      <c r="U53" s="762"/>
      <c r="V53" s="762"/>
      <c r="W53" s="763"/>
      <c r="X53" s="172"/>
    </row>
    <row r="54" spans="1:24" ht="14.45" customHeight="1" x14ac:dyDescent="0.25">
      <c r="A54" s="81" t="s">
        <v>21</v>
      </c>
      <c r="B54" s="711" t="s">
        <v>91</v>
      </c>
      <c r="C54" s="711"/>
      <c r="D54" s="711" t="s">
        <v>15</v>
      </c>
      <c r="E54" s="712"/>
      <c r="F54" s="122"/>
      <c r="G54" s="81" t="s">
        <v>21</v>
      </c>
      <c r="H54" s="711" t="s">
        <v>92</v>
      </c>
      <c r="I54" s="711"/>
      <c r="J54" s="711" t="s">
        <v>15</v>
      </c>
      <c r="K54" s="712"/>
      <c r="L54" s="75"/>
      <c r="M54" s="81" t="s">
        <v>21</v>
      </c>
      <c r="N54" s="711" t="s">
        <v>264</v>
      </c>
      <c r="O54" s="711"/>
      <c r="P54" s="711" t="s">
        <v>15</v>
      </c>
      <c r="Q54" s="712"/>
      <c r="R54" s="122"/>
      <c r="S54" s="81" t="s">
        <v>21</v>
      </c>
      <c r="T54" s="711" t="s">
        <v>265</v>
      </c>
      <c r="U54" s="711"/>
      <c r="V54" s="711" t="s">
        <v>15</v>
      </c>
      <c r="W54" s="712"/>
      <c r="X54" s="172"/>
    </row>
    <row r="55" spans="1:24" ht="14.45" customHeight="1" x14ac:dyDescent="0.25">
      <c r="A55" s="49">
        <v>1</v>
      </c>
      <c r="B55" s="680" t="str">
        <f>VLOOKUP($A55,$A$161:$D$164,2,FALSE)</f>
        <v>Equipe 17</v>
      </c>
      <c r="C55" s="680"/>
      <c r="D55" s="683">
        <f>VLOOKUP($A55,$A$161:$D$164,4,FALSE)</f>
        <v>3.9999999999999998E-7</v>
      </c>
      <c r="E55" s="684"/>
      <c r="F55" s="105"/>
      <c r="G55" s="49">
        <v>1</v>
      </c>
      <c r="H55" s="680" t="str">
        <f>VLOOKUP($G55,$G$161:$J$164,2,FALSE)</f>
        <v>Equipe 21</v>
      </c>
      <c r="I55" s="680"/>
      <c r="J55" s="681">
        <f>VLOOKUP($G55,$G$161:$J$164,4,FALSE)</f>
        <v>3.9999999999999998E-7</v>
      </c>
      <c r="K55" s="682"/>
      <c r="L55" s="76"/>
      <c r="M55" s="49">
        <v>1</v>
      </c>
      <c r="N55" s="824" t="str">
        <f>VLOOKUP($M55,$M$161:$P$164,2,FALSE)</f>
        <v>Equipe 25</v>
      </c>
      <c r="O55" s="825"/>
      <c r="P55" s="767">
        <f>VLOOKUP($M55,$M$161:$P$164,4,FALSE)</f>
        <v>3.9999999999999998E-7</v>
      </c>
      <c r="Q55" s="922"/>
      <c r="R55" s="105"/>
      <c r="S55" s="49">
        <v>1</v>
      </c>
      <c r="T55" s="680" t="str">
        <f>VLOOKUP($S55,$S$161:$V$164,2,FALSE)</f>
        <v>Equipe 29</v>
      </c>
      <c r="U55" s="680"/>
      <c r="V55" s="681">
        <f>VLOOKUP($S55,$S$161:$V$164,4,FALSE)</f>
        <v>3.9999999999999998E-7</v>
      </c>
      <c r="W55" s="682"/>
      <c r="X55" s="172"/>
    </row>
    <row r="56" spans="1:24" ht="14.45" customHeight="1" x14ac:dyDescent="0.25">
      <c r="A56" s="49">
        <v>2</v>
      </c>
      <c r="B56" s="680" t="str">
        <f>VLOOKUP($A56,$A$161:$D$164,2,FALSE)</f>
        <v>Equipe 18</v>
      </c>
      <c r="C56" s="680"/>
      <c r="D56" s="683">
        <f>VLOOKUP($A56,$A$161:$D$164,4,FALSE)</f>
        <v>2.9999999999999999E-7</v>
      </c>
      <c r="E56" s="684"/>
      <c r="F56" s="105"/>
      <c r="G56" s="49">
        <v>2</v>
      </c>
      <c r="H56" s="680" t="str">
        <f>VLOOKUP($G56,$G$161:$J$164,2,FALSE)</f>
        <v>Equipe 22</v>
      </c>
      <c r="I56" s="680"/>
      <c r="J56" s="681">
        <f>VLOOKUP($G56,$G$161:$J$164,4,FALSE)</f>
        <v>2.9999999999999999E-7</v>
      </c>
      <c r="K56" s="682"/>
      <c r="L56" s="76"/>
      <c r="M56" s="49">
        <v>2</v>
      </c>
      <c r="N56" s="824" t="str">
        <f>VLOOKUP($M56,$M$161:$P$164,2,FALSE)</f>
        <v>Equipe 26</v>
      </c>
      <c r="O56" s="825"/>
      <c r="P56" s="767">
        <f>VLOOKUP($M56,$M$161:$P$164,4,FALSE)</f>
        <v>2.9999999999999999E-7</v>
      </c>
      <c r="Q56" s="922"/>
      <c r="R56" s="105"/>
      <c r="S56" s="49">
        <v>2</v>
      </c>
      <c r="T56" s="680" t="str">
        <f>VLOOKUP($S56,$S$161:$V$164,2,FALSE)</f>
        <v>Equipe 30</v>
      </c>
      <c r="U56" s="680"/>
      <c r="V56" s="681">
        <f>VLOOKUP($S56,$S$161:$V$164,4,FALSE)</f>
        <v>2.9999999999999999E-7</v>
      </c>
      <c r="W56" s="682"/>
      <c r="X56" s="172"/>
    </row>
    <row r="57" spans="1:24" ht="15" customHeight="1" x14ac:dyDescent="0.25">
      <c r="A57" s="49">
        <v>3</v>
      </c>
      <c r="B57" s="680" t="str">
        <f>VLOOKUP($A57,$A$161:$D$164,2,FALSE)</f>
        <v>Equipe 19</v>
      </c>
      <c r="C57" s="680"/>
      <c r="D57" s="683">
        <f>VLOOKUP($A57,$A$161:$D$164,4,FALSE)</f>
        <v>1.9999999999999999E-7</v>
      </c>
      <c r="E57" s="684"/>
      <c r="F57" s="105"/>
      <c r="G57" s="49">
        <v>3</v>
      </c>
      <c r="H57" s="680" t="str">
        <f>VLOOKUP($G57,$G$161:$J$164,2,FALSE)</f>
        <v>Equipe 23</v>
      </c>
      <c r="I57" s="680"/>
      <c r="J57" s="681">
        <f>VLOOKUP($G57,$G$161:$J$164,4,FALSE)</f>
        <v>1.9999999999999999E-7</v>
      </c>
      <c r="K57" s="682"/>
      <c r="L57" s="76"/>
      <c r="M57" s="49">
        <v>3</v>
      </c>
      <c r="N57" s="824" t="str">
        <f>VLOOKUP($M57,$M$161:$P$164,2,FALSE)</f>
        <v>Equipe 27</v>
      </c>
      <c r="O57" s="825"/>
      <c r="P57" s="767">
        <f>VLOOKUP($M57,$M$161:$P$164,4,FALSE)</f>
        <v>1.9999999999999999E-7</v>
      </c>
      <c r="Q57" s="922"/>
      <c r="R57" s="105"/>
      <c r="S57" s="49">
        <v>3</v>
      </c>
      <c r="T57" s="680" t="str">
        <f>VLOOKUP($S57,$S$161:$V$164,2,FALSE)</f>
        <v>Equipe 31</v>
      </c>
      <c r="U57" s="680"/>
      <c r="V57" s="681">
        <f>VLOOKUP($S57,$S$161:$V$164,4,FALSE)</f>
        <v>1.9999999999999999E-7</v>
      </c>
      <c r="W57" s="682"/>
    </row>
    <row r="58" spans="1:24" s="2" customFormat="1" ht="15.75" thickBot="1" x14ac:dyDescent="0.3">
      <c r="A58" s="50">
        <v>4</v>
      </c>
      <c r="B58" s="680" t="str">
        <f>VLOOKUP($A58,$A$161:$D$164,2,FALSE)</f>
        <v>Equipe 20</v>
      </c>
      <c r="C58" s="680"/>
      <c r="D58" s="683">
        <f>VLOOKUP($A58,$A$161:$D$164,4,FALSE)</f>
        <v>9.9999999999999995E-8</v>
      </c>
      <c r="E58" s="684"/>
      <c r="F58" s="123"/>
      <c r="G58" s="50">
        <v>4</v>
      </c>
      <c r="H58" s="680" t="str">
        <f>VLOOKUP($G58,$G$161:$J$164,2,FALSE)</f>
        <v>Equipe 24</v>
      </c>
      <c r="I58" s="680"/>
      <c r="J58" s="681">
        <f>VLOOKUP($G58,$G$161:$J$164,4,FALSE)</f>
        <v>9.9999999999999995E-8</v>
      </c>
      <c r="K58" s="682"/>
      <c r="L58" s="78"/>
      <c r="M58" s="50">
        <v>4</v>
      </c>
      <c r="N58" s="824" t="str">
        <f>VLOOKUP($M58,$M$161:$P$164,2,FALSE)</f>
        <v>Equipe 28</v>
      </c>
      <c r="O58" s="825"/>
      <c r="P58" s="767">
        <f>VLOOKUP($M58,$M$161:$P$164,4,FALSE)</f>
        <v>9.9999999999999995E-8</v>
      </c>
      <c r="Q58" s="922"/>
      <c r="R58" s="123"/>
      <c r="S58" s="50">
        <v>4</v>
      </c>
      <c r="T58" s="680" t="str">
        <f>VLOOKUP($S58,$S$161:$V$164,2,FALSE)</f>
        <v>Equipe 32</v>
      </c>
      <c r="U58" s="680"/>
      <c r="V58" s="681">
        <f>VLOOKUP($S58,$S$161:$V$164,4,FALSE)</f>
        <v>9.9999999999999995E-8</v>
      </c>
      <c r="W58" s="682"/>
    </row>
    <row r="59" spans="1:24" s="2" customFormat="1" ht="15.75" thickBot="1" x14ac:dyDescent="0.3">
      <c r="A59" s="703" t="s">
        <v>34</v>
      </c>
      <c r="B59" s="704"/>
      <c r="C59" s="704"/>
      <c r="D59" s="704"/>
      <c r="E59" s="704"/>
      <c r="F59" s="704"/>
      <c r="G59" s="704"/>
      <c r="H59" s="704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4"/>
      <c r="V59" s="704"/>
      <c r="W59" s="705"/>
    </row>
    <row r="60" spans="1:24" ht="15.75" thickBot="1" x14ac:dyDescent="0.3">
      <c r="A60" s="1087" t="s">
        <v>336</v>
      </c>
      <c r="B60" s="1088"/>
      <c r="C60" s="1088"/>
      <c r="D60" s="1088"/>
      <c r="E60" s="1088"/>
      <c r="F60" s="1088"/>
      <c r="G60" s="1088"/>
      <c r="H60" s="1088"/>
      <c r="I60" s="1088"/>
      <c r="J60" s="1088"/>
      <c r="K60" s="1088"/>
      <c r="L60" s="1088"/>
      <c r="M60" s="1088"/>
      <c r="N60" s="1088"/>
      <c r="O60" s="1088"/>
      <c r="P60" s="1088"/>
      <c r="Q60" s="1088"/>
      <c r="R60" s="1088"/>
      <c r="S60" s="1088"/>
      <c r="T60" s="1088"/>
      <c r="U60" s="1088"/>
      <c r="V60" s="1088"/>
      <c r="W60" s="1089"/>
    </row>
    <row r="61" spans="1:24" ht="14.45" customHeight="1" thickBot="1" x14ac:dyDescent="0.3">
      <c r="A61" s="1093" t="s">
        <v>275</v>
      </c>
      <c r="B61" s="1094"/>
      <c r="C61" s="1094"/>
      <c r="D61" s="1094"/>
      <c r="E61" s="1094"/>
      <c r="F61" s="1094"/>
      <c r="G61" s="1094"/>
      <c r="H61" s="1094"/>
      <c r="I61" s="1094"/>
      <c r="J61" s="1094"/>
      <c r="K61" s="1094"/>
      <c r="L61" s="1094"/>
      <c r="M61" s="1094"/>
      <c r="N61" s="1094"/>
      <c r="O61" s="1094"/>
      <c r="P61" s="1094"/>
      <c r="Q61" s="1094"/>
      <c r="R61" s="1094"/>
      <c r="S61" s="1094"/>
      <c r="T61" s="1094"/>
      <c r="U61" s="1094"/>
      <c r="V61" s="1094"/>
      <c r="W61" s="1095"/>
    </row>
    <row r="62" spans="1:24" ht="21.75" thickBot="1" x14ac:dyDescent="0.4">
      <c r="A62" s="1141" t="s">
        <v>61</v>
      </c>
      <c r="B62" s="1142"/>
      <c r="C62" s="1142"/>
      <c r="D62" s="1142"/>
      <c r="E62" s="1142"/>
      <c r="F62" s="1142"/>
      <c r="G62" s="1142"/>
      <c r="H62" s="1142"/>
      <c r="I62" s="520" t="s">
        <v>18</v>
      </c>
      <c r="J62" s="782">
        <v>8.3333333333333332E-3</v>
      </c>
      <c r="K62" s="782"/>
      <c r="L62" s="782"/>
      <c r="M62" s="527" t="s">
        <v>17</v>
      </c>
      <c r="N62" s="520"/>
      <c r="O62" s="686"/>
      <c r="P62" s="686"/>
      <c r="Q62" s="686"/>
      <c r="R62" s="686"/>
      <c r="S62" s="686"/>
      <c r="T62" s="686"/>
      <c r="U62" s="686"/>
      <c r="V62" s="686"/>
      <c r="W62" s="781"/>
    </row>
    <row r="63" spans="1:24" ht="16.5" thickBot="1" x14ac:dyDescent="0.3">
      <c r="A63" s="780" t="s">
        <v>87</v>
      </c>
      <c r="B63" s="686"/>
      <c r="C63" s="686"/>
      <c r="D63" s="686"/>
      <c r="E63" s="686"/>
      <c r="F63" s="686"/>
      <c r="G63" s="686"/>
      <c r="H63" s="686"/>
      <c r="I63" s="686"/>
      <c r="J63" s="686"/>
      <c r="K63" s="781"/>
      <c r="L63" s="446"/>
      <c r="M63" s="780" t="s">
        <v>88</v>
      </c>
      <c r="N63" s="686"/>
      <c r="O63" s="686"/>
      <c r="P63" s="686"/>
      <c r="Q63" s="686"/>
      <c r="R63" s="686"/>
      <c r="S63" s="686"/>
      <c r="T63" s="686"/>
      <c r="U63" s="686"/>
      <c r="V63" s="686"/>
      <c r="W63" s="781"/>
    </row>
    <row r="64" spans="1:24" x14ac:dyDescent="0.25">
      <c r="A64" s="6"/>
      <c r="B64" s="744" t="s">
        <v>311</v>
      </c>
      <c r="C64" s="745"/>
      <c r="D64" s="744" t="s">
        <v>15</v>
      </c>
      <c r="E64" s="746"/>
      <c r="F64" s="102"/>
      <c r="G64" s="7"/>
      <c r="H64" s="747" t="s">
        <v>312</v>
      </c>
      <c r="I64" s="748"/>
      <c r="J64" s="747" t="s">
        <v>15</v>
      </c>
      <c r="K64" s="749"/>
      <c r="L64" s="85"/>
      <c r="M64" s="8"/>
      <c r="N64" s="804" t="s">
        <v>313</v>
      </c>
      <c r="O64" s="805"/>
      <c r="P64" s="804" t="s">
        <v>15</v>
      </c>
      <c r="Q64" s="806"/>
      <c r="R64" s="2"/>
      <c r="S64" s="9"/>
      <c r="T64" s="807" t="s">
        <v>314</v>
      </c>
      <c r="U64" s="808"/>
      <c r="V64" s="807" t="s">
        <v>15</v>
      </c>
      <c r="W64" s="809"/>
    </row>
    <row r="65" spans="1:23" x14ac:dyDescent="0.25">
      <c r="A65" s="10">
        <v>1</v>
      </c>
      <c r="B65" s="905" t="str">
        <f>IF($D$16="","4eme A",B32)</f>
        <v>4eme A</v>
      </c>
      <c r="C65" s="933"/>
      <c r="D65" s="725">
        <f>A195+A199+A203+C190/1000000</f>
        <v>0</v>
      </c>
      <c r="E65" s="726"/>
      <c r="F65" s="103"/>
      <c r="G65" s="11">
        <v>1</v>
      </c>
      <c r="H65" s="907" t="str">
        <f>IF($D$16="","4eme E",B58)</f>
        <v>4eme E</v>
      </c>
      <c r="I65" s="934"/>
      <c r="J65" s="729">
        <f>G195+G199+G203+I190/1000000</f>
        <v>0</v>
      </c>
      <c r="K65" s="730"/>
      <c r="L65" s="85"/>
      <c r="M65" s="12">
        <v>1</v>
      </c>
      <c r="N65" s="844" t="str">
        <f>IF($D$16="","3eme A",B31)</f>
        <v>3eme A</v>
      </c>
      <c r="O65" s="845"/>
      <c r="P65" s="802">
        <f>M195+M199+M203+O190/1000000</f>
        <v>0</v>
      </c>
      <c r="Q65" s="803"/>
      <c r="R65" s="2"/>
      <c r="S65" s="13">
        <v>1</v>
      </c>
      <c r="T65" s="835" t="str">
        <f>IF($D$16="","3eme E",B57)</f>
        <v>3eme E</v>
      </c>
      <c r="U65" s="836"/>
      <c r="V65" s="798">
        <f>S195+S199+S203+U190/1000000</f>
        <v>0</v>
      </c>
      <c r="W65" s="799"/>
    </row>
    <row r="66" spans="1:23" x14ac:dyDescent="0.25">
      <c r="A66" s="10">
        <v>2</v>
      </c>
      <c r="B66" s="905" t="str">
        <f>IF($D$16="","4eme B",H32)</f>
        <v>4eme B</v>
      </c>
      <c r="C66" s="933"/>
      <c r="D66" s="725">
        <f>B195+A200+A204+C191/1000000</f>
        <v>0</v>
      </c>
      <c r="E66" s="726"/>
      <c r="F66" s="103"/>
      <c r="G66" s="11">
        <v>2</v>
      </c>
      <c r="H66" s="907" t="str">
        <f>IF($D$16="","4eme F",H58)</f>
        <v>4eme F</v>
      </c>
      <c r="I66" s="934"/>
      <c r="J66" s="729">
        <f>H195+G200+G204+I191/1000000</f>
        <v>0</v>
      </c>
      <c r="K66" s="730"/>
      <c r="L66" s="85"/>
      <c r="M66" s="12">
        <v>2</v>
      </c>
      <c r="N66" s="844" t="str">
        <f>IF($D$16="","3eme B",H31)</f>
        <v>3eme B</v>
      </c>
      <c r="O66" s="845"/>
      <c r="P66" s="802">
        <f>N195+M200+M204+O191/1000000</f>
        <v>0</v>
      </c>
      <c r="Q66" s="803"/>
      <c r="R66" s="2"/>
      <c r="S66" s="13">
        <v>2</v>
      </c>
      <c r="T66" s="835" t="str">
        <f>IF($D$16="","3eme F",H57)</f>
        <v>3eme F</v>
      </c>
      <c r="U66" s="836"/>
      <c r="V66" s="798">
        <f>T195+S200+S204+U191/1000000</f>
        <v>0</v>
      </c>
      <c r="W66" s="799"/>
    </row>
    <row r="67" spans="1:23" x14ac:dyDescent="0.25">
      <c r="A67" s="10">
        <v>3</v>
      </c>
      <c r="B67" s="905" t="str">
        <f>IF($D$16="","4eme C",N32)</f>
        <v>4eme C</v>
      </c>
      <c r="C67" s="933"/>
      <c r="D67" s="725">
        <f>A196+B199+B204+C192/1000000</f>
        <v>0</v>
      </c>
      <c r="E67" s="726"/>
      <c r="F67" s="103"/>
      <c r="G67" s="11">
        <v>3</v>
      </c>
      <c r="H67" s="907" t="str">
        <f>IF($D$16="","4eme G",N58)</f>
        <v>4eme G</v>
      </c>
      <c r="I67" s="934"/>
      <c r="J67" s="729">
        <f>G196+H199+H204+I192/1000000</f>
        <v>0</v>
      </c>
      <c r="K67" s="730"/>
      <c r="L67" s="85"/>
      <c r="M67" s="12">
        <v>3</v>
      </c>
      <c r="N67" s="844" t="str">
        <f>IF($D$16="","3eme C",N31)</f>
        <v>3eme C</v>
      </c>
      <c r="O67" s="845"/>
      <c r="P67" s="802">
        <f>M196+N199+N204+O192/1000000</f>
        <v>0</v>
      </c>
      <c r="Q67" s="803"/>
      <c r="R67" s="2"/>
      <c r="S67" s="13">
        <v>3</v>
      </c>
      <c r="T67" s="835" t="str">
        <f>IF($D$16="","3eme G",N57)</f>
        <v>3eme G</v>
      </c>
      <c r="U67" s="836"/>
      <c r="V67" s="798">
        <f>S196+T199+T204+U192/1000000</f>
        <v>0</v>
      </c>
      <c r="W67" s="799"/>
    </row>
    <row r="68" spans="1:23" ht="15.75" thickBot="1" x14ac:dyDescent="0.3">
      <c r="A68" s="15">
        <v>4</v>
      </c>
      <c r="B68" s="901" t="str">
        <f>IF($D$16="","4eme D",T32)</f>
        <v>4eme D</v>
      </c>
      <c r="C68" s="939"/>
      <c r="D68" s="719">
        <f>B196+B200+B203+C193/1000000</f>
        <v>0</v>
      </c>
      <c r="E68" s="720"/>
      <c r="F68" s="103"/>
      <c r="G68" s="16">
        <v>4</v>
      </c>
      <c r="H68" s="903" t="str">
        <f>IF($D$16="","4eme H",T58)</f>
        <v>4eme H</v>
      </c>
      <c r="I68" s="940"/>
      <c r="J68" s="723">
        <f>H196+H200+H203+I193/1000000</f>
        <v>0</v>
      </c>
      <c r="K68" s="724"/>
      <c r="L68" s="85"/>
      <c r="M68" s="17">
        <v>4</v>
      </c>
      <c r="N68" s="846" t="str">
        <f>IF($D$16="","3eme D",T31)</f>
        <v>3eme D</v>
      </c>
      <c r="O68" s="847"/>
      <c r="P68" s="794">
        <f>N196+N200+N203+O193/1000000</f>
        <v>0</v>
      </c>
      <c r="Q68" s="795"/>
      <c r="R68" s="2"/>
      <c r="S68" s="18">
        <v>4</v>
      </c>
      <c r="T68" s="837" t="str">
        <f>IF($D$16="","3eme H",T57)</f>
        <v>3eme H</v>
      </c>
      <c r="U68" s="838"/>
      <c r="V68" s="790">
        <f>T196+T200+T203+U193/1000000</f>
        <v>0</v>
      </c>
      <c r="W68" s="791"/>
    </row>
    <row r="69" spans="1:23" ht="5.0999999999999996" customHeight="1" thickBot="1" x14ac:dyDescent="0.3">
      <c r="A69" s="19"/>
      <c r="B69" s="2"/>
      <c r="C69" s="2"/>
      <c r="D69" s="2"/>
      <c r="E69" s="2"/>
      <c r="F69" s="2"/>
      <c r="G69" s="2"/>
      <c r="H69" s="2"/>
      <c r="I69" s="22"/>
      <c r="J69" s="2"/>
      <c r="K69" s="21"/>
      <c r="L69" s="85"/>
      <c r="M69" s="19"/>
      <c r="N69" s="2"/>
      <c r="O69" s="2"/>
      <c r="P69" s="2"/>
      <c r="Q69" s="2"/>
      <c r="R69" s="2"/>
      <c r="S69" s="2"/>
      <c r="T69" s="2"/>
      <c r="U69" s="2"/>
      <c r="V69" s="2"/>
      <c r="W69" s="21"/>
    </row>
    <row r="70" spans="1:23" s="29" customFormat="1" x14ac:dyDescent="0.25">
      <c r="A70" s="24"/>
      <c r="B70" s="713" t="s">
        <v>5</v>
      </c>
      <c r="C70" s="713"/>
      <c r="D70" s="713" t="s">
        <v>16</v>
      </c>
      <c r="E70" s="714"/>
      <c r="F70" s="25"/>
      <c r="G70" s="26"/>
      <c r="H70" s="715" t="s">
        <v>5</v>
      </c>
      <c r="I70" s="715"/>
      <c r="J70" s="715" t="s">
        <v>16</v>
      </c>
      <c r="K70" s="716"/>
      <c r="L70" s="99"/>
      <c r="M70" s="27"/>
      <c r="N70" s="786" t="s">
        <v>5</v>
      </c>
      <c r="O70" s="786"/>
      <c r="P70" s="786" t="s">
        <v>16</v>
      </c>
      <c r="Q70" s="787"/>
      <c r="R70" s="25"/>
      <c r="S70" s="28"/>
      <c r="T70" s="784" t="s">
        <v>5</v>
      </c>
      <c r="U70" s="784"/>
      <c r="V70" s="784" t="s">
        <v>16</v>
      </c>
      <c r="W70" s="785"/>
    </row>
    <row r="71" spans="1:23" x14ac:dyDescent="0.25">
      <c r="A71" s="30">
        <f>G51+J7+L5</f>
        <v>0.54166666666666674</v>
      </c>
      <c r="B71" s="31" t="str">
        <f>B65</f>
        <v>4eme A</v>
      </c>
      <c r="C71" s="31" t="str">
        <f>B66</f>
        <v>4eme B</v>
      </c>
      <c r="D71" s="53"/>
      <c r="E71" s="54"/>
      <c r="F71" s="2"/>
      <c r="G71" s="32">
        <f>A72+$J$62+R5</f>
        <v>0.56527777777777777</v>
      </c>
      <c r="H71" s="33" t="str">
        <f>H65</f>
        <v>4eme E</v>
      </c>
      <c r="I71" s="33" t="str">
        <f>H66</f>
        <v>4eme F</v>
      </c>
      <c r="J71" s="57"/>
      <c r="K71" s="58"/>
      <c r="L71" s="85"/>
      <c r="M71" s="34">
        <f>A71</f>
        <v>0.54166666666666674</v>
      </c>
      <c r="N71" s="35" t="str">
        <f>N65</f>
        <v>3eme A</v>
      </c>
      <c r="O71" s="35" t="str">
        <f>N66</f>
        <v>3eme B</v>
      </c>
      <c r="P71" s="61"/>
      <c r="Q71" s="62"/>
      <c r="R71" s="2"/>
      <c r="S71" s="36">
        <f>G71</f>
        <v>0.56527777777777777</v>
      </c>
      <c r="T71" s="37" t="str">
        <f>T65</f>
        <v>3eme E</v>
      </c>
      <c r="U71" s="37" t="str">
        <f>T66</f>
        <v>3eme F</v>
      </c>
      <c r="V71" s="65"/>
      <c r="W71" s="66"/>
    </row>
    <row r="72" spans="1:23" ht="15.75" thickBot="1" x14ac:dyDescent="0.3">
      <c r="A72" s="38">
        <f>A71+$J$62+R5</f>
        <v>0.55347222222222225</v>
      </c>
      <c r="B72" s="39" t="str">
        <f>B67</f>
        <v>4eme C</v>
      </c>
      <c r="C72" s="39" t="str">
        <f>B68</f>
        <v>4eme D</v>
      </c>
      <c r="D72" s="55"/>
      <c r="E72" s="56"/>
      <c r="F72" s="2"/>
      <c r="G72" s="40">
        <f>G71+$J$62+R5</f>
        <v>0.57708333333333328</v>
      </c>
      <c r="H72" s="41" t="str">
        <f>H67</f>
        <v>4eme G</v>
      </c>
      <c r="I72" s="41" t="str">
        <f>H68</f>
        <v>4eme H</v>
      </c>
      <c r="J72" s="59"/>
      <c r="K72" s="60"/>
      <c r="L72" s="85"/>
      <c r="M72" s="42">
        <f>A72</f>
        <v>0.55347222222222225</v>
      </c>
      <c r="N72" s="43" t="str">
        <f>N67</f>
        <v>3eme C</v>
      </c>
      <c r="O72" s="43" t="str">
        <f>N68</f>
        <v>3eme D</v>
      </c>
      <c r="P72" s="63"/>
      <c r="Q72" s="64"/>
      <c r="R72" s="2"/>
      <c r="S72" s="44">
        <f>G72</f>
        <v>0.57708333333333328</v>
      </c>
      <c r="T72" s="45" t="str">
        <f>T67</f>
        <v>3eme G</v>
      </c>
      <c r="U72" s="45" t="str">
        <f>T68</f>
        <v>3eme H</v>
      </c>
      <c r="V72" s="67"/>
      <c r="W72" s="68"/>
    </row>
    <row r="73" spans="1:23" ht="5.0999999999999996" customHeight="1" thickBot="1" x14ac:dyDescent="0.3">
      <c r="A73" s="19"/>
      <c r="B73" s="2"/>
      <c r="C73" s="2"/>
      <c r="D73" s="521"/>
      <c r="E73" s="521"/>
      <c r="F73" s="2"/>
      <c r="G73" s="2"/>
      <c r="H73" s="2"/>
      <c r="I73" s="47"/>
      <c r="J73" s="521"/>
      <c r="K73" s="522"/>
      <c r="L73" s="85"/>
      <c r="M73" s="19"/>
      <c r="N73" s="2"/>
      <c r="O73" s="2"/>
      <c r="P73" s="521"/>
      <c r="Q73" s="521"/>
      <c r="R73" s="2"/>
      <c r="S73" s="2"/>
      <c r="T73" s="2"/>
      <c r="U73" s="2"/>
      <c r="V73" s="521"/>
      <c r="W73" s="522"/>
    </row>
    <row r="74" spans="1:23" s="29" customFormat="1" x14ac:dyDescent="0.25">
      <c r="A74" s="24"/>
      <c r="B74" s="713" t="s">
        <v>6</v>
      </c>
      <c r="C74" s="713"/>
      <c r="D74" s="713" t="s">
        <v>16</v>
      </c>
      <c r="E74" s="714"/>
      <c r="F74" s="25"/>
      <c r="G74" s="26"/>
      <c r="H74" s="715" t="s">
        <v>6</v>
      </c>
      <c r="I74" s="715"/>
      <c r="J74" s="715" t="s">
        <v>16</v>
      </c>
      <c r="K74" s="716"/>
      <c r="L74" s="99"/>
      <c r="M74" s="27"/>
      <c r="N74" s="786" t="s">
        <v>6</v>
      </c>
      <c r="O74" s="786"/>
      <c r="P74" s="786" t="s">
        <v>16</v>
      </c>
      <c r="Q74" s="787"/>
      <c r="R74" s="25"/>
      <c r="S74" s="28"/>
      <c r="T74" s="784" t="s">
        <v>6</v>
      </c>
      <c r="U74" s="784"/>
      <c r="V74" s="784" t="s">
        <v>16</v>
      </c>
      <c r="W74" s="785"/>
    </row>
    <row r="75" spans="1:23" x14ac:dyDescent="0.25">
      <c r="A75" s="30">
        <f>G72+$J$62+R5</f>
        <v>0.5888888888888888</v>
      </c>
      <c r="B75" s="31" t="str">
        <f>B65</f>
        <v>4eme A</v>
      </c>
      <c r="C75" s="31" t="str">
        <f>B67</f>
        <v>4eme C</v>
      </c>
      <c r="D75" s="53"/>
      <c r="E75" s="54"/>
      <c r="F75" s="2"/>
      <c r="G75" s="32">
        <f>A76+$J$62+R5</f>
        <v>0.61249999999999982</v>
      </c>
      <c r="H75" s="33" t="str">
        <f>H65</f>
        <v>4eme E</v>
      </c>
      <c r="I75" s="33" t="str">
        <f>H67</f>
        <v>4eme G</v>
      </c>
      <c r="J75" s="57"/>
      <c r="K75" s="58"/>
      <c r="L75" s="85"/>
      <c r="M75" s="34">
        <f>A75</f>
        <v>0.5888888888888888</v>
      </c>
      <c r="N75" s="35" t="str">
        <f>N65</f>
        <v>3eme A</v>
      </c>
      <c r="O75" s="35" t="str">
        <f>N67</f>
        <v>3eme C</v>
      </c>
      <c r="P75" s="61"/>
      <c r="Q75" s="62"/>
      <c r="R75" s="2"/>
      <c r="S75" s="36">
        <f>G75</f>
        <v>0.61249999999999982</v>
      </c>
      <c r="T75" s="37" t="str">
        <f>T65</f>
        <v>3eme E</v>
      </c>
      <c r="U75" s="37" t="str">
        <f>T67</f>
        <v>3eme G</v>
      </c>
      <c r="V75" s="65"/>
      <c r="W75" s="66"/>
    </row>
    <row r="76" spans="1:23" ht="15.75" thickBot="1" x14ac:dyDescent="0.3">
      <c r="A76" s="38">
        <f>A75+$J$62+R5</f>
        <v>0.60069444444444431</v>
      </c>
      <c r="B76" s="39" t="str">
        <f>B66</f>
        <v>4eme B</v>
      </c>
      <c r="C76" s="39" t="str">
        <f>B68</f>
        <v>4eme D</v>
      </c>
      <c r="D76" s="55"/>
      <c r="E76" s="56"/>
      <c r="F76" s="2"/>
      <c r="G76" s="40">
        <f>G75+$J$62+R5</f>
        <v>0.62430555555555534</v>
      </c>
      <c r="H76" s="41" t="str">
        <f>H66</f>
        <v>4eme F</v>
      </c>
      <c r="I76" s="41" t="str">
        <f>H68</f>
        <v>4eme H</v>
      </c>
      <c r="J76" s="59"/>
      <c r="K76" s="60"/>
      <c r="L76" s="85"/>
      <c r="M76" s="42">
        <f>A76</f>
        <v>0.60069444444444431</v>
      </c>
      <c r="N76" s="43" t="str">
        <f>N66</f>
        <v>3eme B</v>
      </c>
      <c r="O76" s="43" t="str">
        <f>N68</f>
        <v>3eme D</v>
      </c>
      <c r="P76" s="63"/>
      <c r="Q76" s="64"/>
      <c r="R76" s="2"/>
      <c r="S76" s="44">
        <f>G76</f>
        <v>0.62430555555555534</v>
      </c>
      <c r="T76" s="45" t="str">
        <f>T66</f>
        <v>3eme F</v>
      </c>
      <c r="U76" s="45" t="str">
        <f>T68</f>
        <v>3eme H</v>
      </c>
      <c r="V76" s="67"/>
      <c r="W76" s="68"/>
    </row>
    <row r="77" spans="1:23" ht="5.0999999999999996" customHeight="1" thickBot="1" x14ac:dyDescent="0.3">
      <c r="A77" s="19"/>
      <c r="B77" s="2"/>
      <c r="C77" s="2"/>
      <c r="D77" s="521"/>
      <c r="E77" s="521"/>
      <c r="F77" s="2"/>
      <c r="G77" s="2"/>
      <c r="H77" s="2"/>
      <c r="I77" s="47"/>
      <c r="J77" s="521"/>
      <c r="K77" s="522"/>
      <c r="L77" s="85"/>
      <c r="M77" s="19"/>
      <c r="N77" s="2"/>
      <c r="O77" s="2"/>
      <c r="P77" s="521"/>
      <c r="Q77" s="521"/>
      <c r="R77" s="2"/>
      <c r="S77" s="2"/>
      <c r="T77" s="2"/>
      <c r="U77" s="2"/>
      <c r="V77" s="521"/>
      <c r="W77" s="522"/>
    </row>
    <row r="78" spans="1:23" s="29" customFormat="1" x14ac:dyDescent="0.25">
      <c r="A78" s="24"/>
      <c r="B78" s="713" t="s">
        <v>7</v>
      </c>
      <c r="C78" s="713"/>
      <c r="D78" s="713" t="s">
        <v>16</v>
      </c>
      <c r="E78" s="714"/>
      <c r="F78" s="25"/>
      <c r="G78" s="26"/>
      <c r="H78" s="715" t="s">
        <v>7</v>
      </c>
      <c r="I78" s="715"/>
      <c r="J78" s="715" t="s">
        <v>16</v>
      </c>
      <c r="K78" s="716"/>
      <c r="L78" s="99"/>
      <c r="M78" s="27"/>
      <c r="N78" s="786" t="s">
        <v>7</v>
      </c>
      <c r="O78" s="786"/>
      <c r="P78" s="786" t="s">
        <v>16</v>
      </c>
      <c r="Q78" s="787"/>
      <c r="R78" s="25"/>
      <c r="S78" s="28"/>
      <c r="T78" s="784" t="s">
        <v>7</v>
      </c>
      <c r="U78" s="784"/>
      <c r="V78" s="784" t="s">
        <v>16</v>
      </c>
      <c r="W78" s="785"/>
    </row>
    <row r="79" spans="1:23" x14ac:dyDescent="0.25">
      <c r="A79" s="30">
        <f>G76+$J$62+R5</f>
        <v>0.63611111111111085</v>
      </c>
      <c r="B79" s="31" t="str">
        <f>B65</f>
        <v>4eme A</v>
      </c>
      <c r="C79" s="31" t="str">
        <f>B68</f>
        <v>4eme D</v>
      </c>
      <c r="D79" s="53"/>
      <c r="E79" s="54"/>
      <c r="F79" s="2"/>
      <c r="G79" s="32">
        <f>A80+$J$62+R5</f>
        <v>0.65972222222222188</v>
      </c>
      <c r="H79" s="33" t="str">
        <f>H65</f>
        <v>4eme E</v>
      </c>
      <c r="I79" s="33" t="str">
        <f>H68</f>
        <v>4eme H</v>
      </c>
      <c r="J79" s="57"/>
      <c r="K79" s="58"/>
      <c r="L79" s="85"/>
      <c r="M79" s="34">
        <f>A79</f>
        <v>0.63611111111111085</v>
      </c>
      <c r="N79" s="35" t="str">
        <f>N65</f>
        <v>3eme A</v>
      </c>
      <c r="O79" s="35" t="str">
        <f>N68</f>
        <v>3eme D</v>
      </c>
      <c r="P79" s="61"/>
      <c r="Q79" s="62"/>
      <c r="R79" s="2"/>
      <c r="S79" s="36">
        <f>G79</f>
        <v>0.65972222222222188</v>
      </c>
      <c r="T79" s="37" t="str">
        <f>T65</f>
        <v>3eme E</v>
      </c>
      <c r="U79" s="37" t="str">
        <f>T68</f>
        <v>3eme H</v>
      </c>
      <c r="V79" s="65"/>
      <c r="W79" s="66"/>
    </row>
    <row r="80" spans="1:23" ht="15.75" thickBot="1" x14ac:dyDescent="0.3">
      <c r="A80" s="38">
        <f>A79+$J$62+R5</f>
        <v>0.64791666666666636</v>
      </c>
      <c r="B80" s="39" t="str">
        <f>B66</f>
        <v>4eme B</v>
      </c>
      <c r="C80" s="39" t="str">
        <f>B67</f>
        <v>4eme C</v>
      </c>
      <c r="D80" s="55"/>
      <c r="E80" s="56"/>
      <c r="F80" s="47"/>
      <c r="G80" s="40">
        <f>G79+$J$62+R5</f>
        <v>0.67152777777777739</v>
      </c>
      <c r="H80" s="41" t="str">
        <f>H66</f>
        <v>4eme F</v>
      </c>
      <c r="I80" s="41" t="str">
        <f>H67</f>
        <v>4eme G</v>
      </c>
      <c r="J80" s="59"/>
      <c r="K80" s="60"/>
      <c r="L80" s="89"/>
      <c r="M80" s="42">
        <f>A80</f>
        <v>0.64791666666666636</v>
      </c>
      <c r="N80" s="43" t="str">
        <f>N66</f>
        <v>3eme B</v>
      </c>
      <c r="O80" s="43" t="str">
        <f>N67</f>
        <v>3eme C</v>
      </c>
      <c r="P80" s="63"/>
      <c r="Q80" s="64"/>
      <c r="R80" s="47"/>
      <c r="S80" s="44">
        <f>G80</f>
        <v>0.67152777777777739</v>
      </c>
      <c r="T80" s="45" t="str">
        <f>T66</f>
        <v>3eme F</v>
      </c>
      <c r="U80" s="45" t="str">
        <f>T67</f>
        <v>3eme G</v>
      </c>
      <c r="V80" s="67"/>
      <c r="W80" s="68"/>
    </row>
    <row r="81" spans="1:24" ht="16.5" thickBot="1" x14ac:dyDescent="0.3">
      <c r="A81" s="783" t="s">
        <v>301</v>
      </c>
      <c r="B81" s="762"/>
      <c r="C81" s="762"/>
      <c r="D81" s="762"/>
      <c r="E81" s="762"/>
      <c r="F81" s="762"/>
      <c r="G81" s="762"/>
      <c r="H81" s="762"/>
      <c r="I81" s="762"/>
      <c r="J81" s="762"/>
      <c r="K81" s="762"/>
      <c r="L81" s="762"/>
      <c r="M81" s="762"/>
      <c r="N81" s="762"/>
      <c r="O81" s="762"/>
      <c r="P81" s="762"/>
      <c r="Q81" s="762"/>
      <c r="R81" s="762"/>
      <c r="S81" s="762"/>
      <c r="T81" s="762"/>
      <c r="U81" s="762"/>
      <c r="V81" s="762"/>
      <c r="W81" s="763"/>
    </row>
    <row r="82" spans="1:24" x14ac:dyDescent="0.25">
      <c r="A82" s="81" t="s">
        <v>21</v>
      </c>
      <c r="B82" s="711" t="s">
        <v>41</v>
      </c>
      <c r="C82" s="711"/>
      <c r="D82" s="711" t="s">
        <v>15</v>
      </c>
      <c r="E82" s="712"/>
      <c r="F82" s="122"/>
      <c r="G82" s="81" t="s">
        <v>21</v>
      </c>
      <c r="H82" s="711" t="s">
        <v>42</v>
      </c>
      <c r="I82" s="711"/>
      <c r="J82" s="711" t="s">
        <v>15</v>
      </c>
      <c r="K82" s="712"/>
      <c r="L82" s="75"/>
      <c r="M82" s="81" t="s">
        <v>21</v>
      </c>
      <c r="N82" s="711" t="s">
        <v>43</v>
      </c>
      <c r="O82" s="711"/>
      <c r="P82" s="711" t="s">
        <v>15</v>
      </c>
      <c r="Q82" s="712"/>
      <c r="R82" s="122"/>
      <c r="S82" s="81" t="s">
        <v>21</v>
      </c>
      <c r="T82" s="711" t="s">
        <v>55</v>
      </c>
      <c r="U82" s="711"/>
      <c r="V82" s="711" t="s">
        <v>15</v>
      </c>
      <c r="W82" s="712"/>
    </row>
    <row r="83" spans="1:24" x14ac:dyDescent="0.25">
      <c r="A83" s="49">
        <v>1</v>
      </c>
      <c r="B83" s="680" t="str">
        <f>VLOOKUP($A83,$A$190:$D$193,2,FALSE)</f>
        <v>4eme A</v>
      </c>
      <c r="C83" s="680"/>
      <c r="D83" s="683">
        <f>VLOOKUP($A83,$A$190:$D$193,4,FALSE)</f>
        <v>3.9999999999999998E-7</v>
      </c>
      <c r="E83" s="684"/>
      <c r="F83" s="105"/>
      <c r="G83" s="49">
        <v>1</v>
      </c>
      <c r="H83" s="680" t="str">
        <f>VLOOKUP($G83,$G$190:$J$193,2,FALSE)</f>
        <v>4eme E</v>
      </c>
      <c r="I83" s="680"/>
      <c r="J83" s="681">
        <f>VLOOKUP($G83,$G$190:$J$193,4,FALSE)</f>
        <v>3.9999999999999998E-7</v>
      </c>
      <c r="K83" s="682"/>
      <c r="L83" s="76"/>
      <c r="M83" s="49">
        <v>1</v>
      </c>
      <c r="N83" s="680" t="str">
        <f>VLOOKUP($M83,$M$190:$P$193,2,FALSE)</f>
        <v>3eme A</v>
      </c>
      <c r="O83" s="680"/>
      <c r="P83" s="681">
        <f>VLOOKUP($M83,$M$190:$P$193,4,FALSE)</f>
        <v>3.9999999999999998E-7</v>
      </c>
      <c r="Q83" s="682"/>
      <c r="R83" s="105"/>
      <c r="S83" s="49">
        <v>1</v>
      </c>
      <c r="T83" s="680" t="str">
        <f>VLOOKUP($S83,$S$190:$V$193,2,FALSE)</f>
        <v>3eme E</v>
      </c>
      <c r="U83" s="680"/>
      <c r="V83" s="681">
        <f>VLOOKUP($S83,$S$190:$V$193,4,FALSE)</f>
        <v>3.9999999999999998E-7</v>
      </c>
      <c r="W83" s="682"/>
    </row>
    <row r="84" spans="1:24" x14ac:dyDescent="0.25">
      <c r="A84" s="49">
        <v>2</v>
      </c>
      <c r="B84" s="680" t="str">
        <f>VLOOKUP($A84,$A$190:$D$193,2,FALSE)</f>
        <v>4eme B</v>
      </c>
      <c r="C84" s="680"/>
      <c r="D84" s="683">
        <f>VLOOKUP($A84,$A$190:$D$193,4,FALSE)</f>
        <v>2.9999999999999999E-7</v>
      </c>
      <c r="E84" s="684"/>
      <c r="F84" s="105"/>
      <c r="G84" s="49">
        <v>2</v>
      </c>
      <c r="H84" s="680" t="str">
        <f>VLOOKUP($G84,$G$190:$J$193,2,FALSE)</f>
        <v>4eme F</v>
      </c>
      <c r="I84" s="680"/>
      <c r="J84" s="681">
        <f>VLOOKUP($G84,$G$190:$J$193,4,FALSE)</f>
        <v>2.9999999999999999E-7</v>
      </c>
      <c r="K84" s="682"/>
      <c r="L84" s="76"/>
      <c r="M84" s="49">
        <v>2</v>
      </c>
      <c r="N84" s="680" t="str">
        <f>VLOOKUP($M84,$M$190:$P$193,2,FALSE)</f>
        <v>3eme B</v>
      </c>
      <c r="O84" s="680"/>
      <c r="P84" s="681">
        <f>VLOOKUP($M84,$M$190:$P$193,4,FALSE)</f>
        <v>2.9999999999999999E-7</v>
      </c>
      <c r="Q84" s="682"/>
      <c r="R84" s="105"/>
      <c r="S84" s="49">
        <v>2</v>
      </c>
      <c r="T84" s="680" t="str">
        <f>VLOOKUP($S84,$S$190:$V$193,2,FALSE)</f>
        <v>3eme F</v>
      </c>
      <c r="U84" s="680"/>
      <c r="V84" s="681">
        <f>VLOOKUP($S84,$S$190:$V$193,4,FALSE)</f>
        <v>2.9999999999999999E-7</v>
      </c>
      <c r="W84" s="682"/>
    </row>
    <row r="85" spans="1:24" x14ac:dyDescent="0.25">
      <c r="A85" s="49">
        <v>3</v>
      </c>
      <c r="B85" s="680" t="str">
        <f>VLOOKUP($A85,$A$190:$D$193,2,FALSE)</f>
        <v>4eme C</v>
      </c>
      <c r="C85" s="680"/>
      <c r="D85" s="683">
        <f>VLOOKUP($A85,$A$190:$D$193,4,FALSE)</f>
        <v>1.9999999999999999E-7</v>
      </c>
      <c r="E85" s="684"/>
      <c r="F85" s="105"/>
      <c r="G85" s="49">
        <v>3</v>
      </c>
      <c r="H85" s="680" t="str">
        <f>VLOOKUP($G85,$G$190:$J$193,2,FALSE)</f>
        <v>4eme G</v>
      </c>
      <c r="I85" s="680"/>
      <c r="J85" s="681">
        <f>VLOOKUP($G85,$G$190:$J$193,4,FALSE)</f>
        <v>1.9999999999999999E-7</v>
      </c>
      <c r="K85" s="682"/>
      <c r="L85" s="76"/>
      <c r="M85" s="49">
        <v>3</v>
      </c>
      <c r="N85" s="680" t="str">
        <f>VLOOKUP($M85,$M$190:$P$193,2,FALSE)</f>
        <v>3eme C</v>
      </c>
      <c r="O85" s="680"/>
      <c r="P85" s="681">
        <f>VLOOKUP($M85,$M$190:$P$193,4,FALSE)</f>
        <v>1.9999999999999999E-7</v>
      </c>
      <c r="Q85" s="682"/>
      <c r="R85" s="105"/>
      <c r="S85" s="49">
        <v>3</v>
      </c>
      <c r="T85" s="680" t="str">
        <f>VLOOKUP($S85,$S$190:$V$193,2,FALSE)</f>
        <v>3eme G</v>
      </c>
      <c r="U85" s="680"/>
      <c r="V85" s="681">
        <f>VLOOKUP($S85,$S$190:$V$193,4,FALSE)</f>
        <v>1.9999999999999999E-7</v>
      </c>
      <c r="W85" s="682"/>
    </row>
    <row r="86" spans="1:24" ht="15.75" thickBot="1" x14ac:dyDescent="0.3">
      <c r="A86" s="50">
        <v>4</v>
      </c>
      <c r="B86" s="680" t="str">
        <f>VLOOKUP($A86,$A$190:$D$193,2,FALSE)</f>
        <v>4eme D</v>
      </c>
      <c r="C86" s="680"/>
      <c r="D86" s="683">
        <f>VLOOKUP($A86,$A$190:$D$193,4,FALSE)</f>
        <v>9.9999999999999995E-8</v>
      </c>
      <c r="E86" s="684"/>
      <c r="F86" s="123"/>
      <c r="G86" s="50">
        <v>4</v>
      </c>
      <c r="H86" s="680" t="str">
        <f>VLOOKUP($G86,$G$190:$J$193,2,FALSE)</f>
        <v>4eme H</v>
      </c>
      <c r="I86" s="680"/>
      <c r="J86" s="681">
        <f>VLOOKUP($G86,$G$190:$J$193,4,FALSE)</f>
        <v>9.9999999999999995E-8</v>
      </c>
      <c r="K86" s="682"/>
      <c r="L86" s="78"/>
      <c r="M86" s="50">
        <v>4</v>
      </c>
      <c r="N86" s="680" t="str">
        <f>VLOOKUP($M86,$M$190:$P$193,2,FALSE)</f>
        <v>3eme D</v>
      </c>
      <c r="O86" s="680"/>
      <c r="P86" s="681">
        <f>VLOOKUP($M86,$M$190:$P$193,4,FALSE)</f>
        <v>9.9999999999999995E-8</v>
      </c>
      <c r="Q86" s="682"/>
      <c r="R86" s="123"/>
      <c r="S86" s="50">
        <v>4</v>
      </c>
      <c r="T86" s="680" t="str">
        <f>VLOOKUP($S86,$S$190:$V$193,2,FALSE)</f>
        <v>3eme H</v>
      </c>
      <c r="U86" s="680"/>
      <c r="V86" s="681">
        <f>VLOOKUP($S86,$S$190:$V$193,4,FALSE)</f>
        <v>9.9999999999999995E-8</v>
      </c>
      <c r="W86" s="682"/>
    </row>
    <row r="87" spans="1:24" ht="16.5" thickBot="1" x14ac:dyDescent="0.3">
      <c r="A87" s="780" t="s">
        <v>250</v>
      </c>
      <c r="B87" s="686"/>
      <c r="C87" s="686"/>
      <c r="D87" s="686"/>
      <c r="E87" s="686"/>
      <c r="F87" s="686"/>
      <c r="G87" s="686"/>
      <c r="H87" s="686"/>
      <c r="I87" s="686"/>
      <c r="J87" s="686"/>
      <c r="K87" s="781"/>
      <c r="L87" s="446"/>
      <c r="M87" s="780" t="s">
        <v>251</v>
      </c>
      <c r="N87" s="686"/>
      <c r="O87" s="686"/>
      <c r="P87" s="686"/>
      <c r="Q87" s="686"/>
      <c r="R87" s="686"/>
      <c r="S87" s="686"/>
      <c r="T87" s="686"/>
      <c r="U87" s="686"/>
      <c r="V87" s="686"/>
      <c r="W87" s="781"/>
    </row>
    <row r="88" spans="1:24" x14ac:dyDescent="0.25">
      <c r="A88" s="6"/>
      <c r="B88" s="744" t="s">
        <v>315</v>
      </c>
      <c r="C88" s="745"/>
      <c r="D88" s="744" t="s">
        <v>15</v>
      </c>
      <c r="E88" s="746"/>
      <c r="F88" s="102"/>
      <c r="G88" s="7"/>
      <c r="H88" s="747" t="s">
        <v>316</v>
      </c>
      <c r="I88" s="748"/>
      <c r="J88" s="747" t="s">
        <v>15</v>
      </c>
      <c r="K88" s="749"/>
      <c r="L88" s="85"/>
      <c r="M88" s="8"/>
      <c r="N88" s="804" t="s">
        <v>317</v>
      </c>
      <c r="O88" s="805"/>
      <c r="P88" s="804" t="s">
        <v>15</v>
      </c>
      <c r="Q88" s="806"/>
      <c r="R88" s="2"/>
      <c r="S88" s="9"/>
      <c r="T88" s="807" t="s">
        <v>318</v>
      </c>
      <c r="U88" s="808"/>
      <c r="V88" s="807" t="s">
        <v>15</v>
      </c>
      <c r="W88" s="809"/>
    </row>
    <row r="89" spans="1:24" ht="16.350000000000001" customHeight="1" x14ac:dyDescent="0.25">
      <c r="A89" s="10">
        <v>1</v>
      </c>
      <c r="B89" s="905" t="str">
        <f>IF($D$16="","2eme A",B30)</f>
        <v>2eme A</v>
      </c>
      <c r="C89" s="933"/>
      <c r="D89" s="725">
        <f>A221+A225+A229+C216/1000000</f>
        <v>0</v>
      </c>
      <c r="E89" s="726"/>
      <c r="F89" s="103"/>
      <c r="G89" s="11">
        <v>1</v>
      </c>
      <c r="H89" s="907" t="str">
        <f>IF($D$16="","2eme E",B56)</f>
        <v>2eme E</v>
      </c>
      <c r="I89" s="934"/>
      <c r="J89" s="729">
        <f>G221+G225+G229+I216/1000000</f>
        <v>0</v>
      </c>
      <c r="K89" s="730"/>
      <c r="L89" s="85"/>
      <c r="M89" s="12">
        <v>1</v>
      </c>
      <c r="N89" s="844" t="str">
        <f>IF($D$16="","1er A",B29)</f>
        <v>1er A</v>
      </c>
      <c r="O89" s="845"/>
      <c r="P89" s="802">
        <f>M221+M225+M229+O216/1000000</f>
        <v>0</v>
      </c>
      <c r="Q89" s="803"/>
      <c r="R89" s="2"/>
      <c r="S89" s="13">
        <v>1</v>
      </c>
      <c r="T89" s="835" t="str">
        <f>IF($D$16="","1er E",B55)</f>
        <v>1er E</v>
      </c>
      <c r="U89" s="836"/>
      <c r="V89" s="798">
        <f>S221+S225+S229+U216/1000000</f>
        <v>0</v>
      </c>
      <c r="W89" s="799"/>
      <c r="X89" s="74"/>
    </row>
    <row r="90" spans="1:24" ht="16.350000000000001" customHeight="1" x14ac:dyDescent="0.25">
      <c r="A90" s="10">
        <v>2</v>
      </c>
      <c r="B90" s="905" t="str">
        <f>IF($D$16="","2eme B",H30)</f>
        <v>2eme B</v>
      </c>
      <c r="C90" s="933"/>
      <c r="D90" s="725">
        <f>B221+A226+A230+C217/1000000</f>
        <v>0</v>
      </c>
      <c r="E90" s="726"/>
      <c r="F90" s="103"/>
      <c r="G90" s="11">
        <v>2</v>
      </c>
      <c r="H90" s="907" t="str">
        <f>IF($D$16="","2eme F",H56)</f>
        <v>2eme F</v>
      </c>
      <c r="I90" s="934"/>
      <c r="J90" s="729">
        <f>H221+G226+G230+I217/1000000</f>
        <v>0</v>
      </c>
      <c r="K90" s="730"/>
      <c r="L90" s="85"/>
      <c r="M90" s="12">
        <v>2</v>
      </c>
      <c r="N90" s="844" t="str">
        <f>IF($D$16="","1er B",H29)</f>
        <v>1er B</v>
      </c>
      <c r="O90" s="845"/>
      <c r="P90" s="802">
        <f>N221+M226+M230+O217/1000000</f>
        <v>0</v>
      </c>
      <c r="Q90" s="803"/>
      <c r="R90" s="2"/>
      <c r="S90" s="13">
        <v>2</v>
      </c>
      <c r="T90" s="835" t="str">
        <f>IF($D$16="","1er F",H55)</f>
        <v>1er F</v>
      </c>
      <c r="U90" s="836"/>
      <c r="V90" s="798">
        <f>T221+S226+S230+U217/1000000</f>
        <v>0</v>
      </c>
      <c r="W90" s="799"/>
      <c r="X90" s="74"/>
    </row>
    <row r="91" spans="1:24" ht="16.350000000000001" customHeight="1" x14ac:dyDescent="0.25">
      <c r="A91" s="10">
        <v>3</v>
      </c>
      <c r="B91" s="905" t="str">
        <f>IF($D$16="","2eme C",N30)</f>
        <v>2eme C</v>
      </c>
      <c r="C91" s="933"/>
      <c r="D91" s="725">
        <f>A222+B225+B230+C218/1000000</f>
        <v>0</v>
      </c>
      <c r="E91" s="726"/>
      <c r="F91" s="103"/>
      <c r="G91" s="11">
        <v>3</v>
      </c>
      <c r="H91" s="907" t="str">
        <f>IF($D$16="","2eme G",N56)</f>
        <v>2eme G</v>
      </c>
      <c r="I91" s="934"/>
      <c r="J91" s="729">
        <f>G222+H225+H230+I218/1000000</f>
        <v>0</v>
      </c>
      <c r="K91" s="730"/>
      <c r="L91" s="85"/>
      <c r="M91" s="12">
        <v>3</v>
      </c>
      <c r="N91" s="844" t="str">
        <f>IF($D$16="","1er C",N29)</f>
        <v>1er C</v>
      </c>
      <c r="O91" s="845"/>
      <c r="P91" s="802">
        <f>M222+N225+N230+O218/1000000</f>
        <v>0</v>
      </c>
      <c r="Q91" s="803"/>
      <c r="R91" s="2"/>
      <c r="S91" s="13">
        <v>3</v>
      </c>
      <c r="T91" s="835" t="str">
        <f>IF($D$16="","1er G",N55)</f>
        <v>1er G</v>
      </c>
      <c r="U91" s="836"/>
      <c r="V91" s="798">
        <f>S222+T225+T230+U218/1000000</f>
        <v>0</v>
      </c>
      <c r="W91" s="799"/>
    </row>
    <row r="92" spans="1:24" ht="16.350000000000001" customHeight="1" thickBot="1" x14ac:dyDescent="0.3">
      <c r="A92" s="15">
        <v>4</v>
      </c>
      <c r="B92" s="901" t="str">
        <f>IF($D$16="","2eme D",T30)</f>
        <v>2eme D</v>
      </c>
      <c r="C92" s="939"/>
      <c r="D92" s="719">
        <f>B222+B226+B229+C219/1000000</f>
        <v>0</v>
      </c>
      <c r="E92" s="720"/>
      <c r="F92" s="103"/>
      <c r="G92" s="16">
        <v>4</v>
      </c>
      <c r="H92" s="903" t="str">
        <f>IF($D$16="","2eme H",T56)</f>
        <v>2eme H</v>
      </c>
      <c r="I92" s="940"/>
      <c r="J92" s="723">
        <f>H222+H226+H229+I219/1000000</f>
        <v>0</v>
      </c>
      <c r="K92" s="724"/>
      <c r="L92" s="85"/>
      <c r="M92" s="17">
        <v>4</v>
      </c>
      <c r="N92" s="846" t="str">
        <f>IF($D$16="","1er D",T29)</f>
        <v>1er D</v>
      </c>
      <c r="O92" s="847"/>
      <c r="P92" s="794">
        <f>N222+N226+N229+O219/1000000</f>
        <v>0</v>
      </c>
      <c r="Q92" s="795"/>
      <c r="R92" s="2"/>
      <c r="S92" s="18">
        <v>4</v>
      </c>
      <c r="T92" s="837" t="str">
        <f>IF($D$16="","1er H",T55)</f>
        <v>1er H</v>
      </c>
      <c r="U92" s="838"/>
      <c r="V92" s="790">
        <f>T222+T226+T229+U219/1000000</f>
        <v>0</v>
      </c>
      <c r="W92" s="791"/>
    </row>
    <row r="93" spans="1:24" ht="5.0999999999999996" customHeight="1" thickBot="1" x14ac:dyDescent="0.3">
      <c r="A93" s="19"/>
      <c r="B93" s="2"/>
      <c r="C93" s="2"/>
      <c r="D93" s="2"/>
      <c r="E93" s="2"/>
      <c r="F93" s="2"/>
      <c r="G93" s="2"/>
      <c r="H93" s="2"/>
      <c r="I93" s="22"/>
      <c r="J93" s="2"/>
      <c r="K93" s="21"/>
      <c r="L93" s="85"/>
      <c r="M93" s="19"/>
      <c r="N93" s="2"/>
      <c r="O93" s="2"/>
      <c r="P93" s="2"/>
      <c r="Q93" s="2"/>
      <c r="R93" s="2"/>
      <c r="S93" s="2"/>
      <c r="T93" s="2"/>
      <c r="U93" s="2"/>
      <c r="V93" s="2"/>
      <c r="W93" s="21"/>
    </row>
    <row r="94" spans="1:24" x14ac:dyDescent="0.25">
      <c r="A94" s="24"/>
      <c r="B94" s="713" t="s">
        <v>5</v>
      </c>
      <c r="C94" s="713"/>
      <c r="D94" s="713" t="s">
        <v>16</v>
      </c>
      <c r="E94" s="714"/>
      <c r="F94" s="25"/>
      <c r="G94" s="26"/>
      <c r="H94" s="715" t="s">
        <v>5</v>
      </c>
      <c r="I94" s="715"/>
      <c r="J94" s="715" t="s">
        <v>16</v>
      </c>
      <c r="K94" s="716"/>
      <c r="L94" s="99"/>
      <c r="M94" s="27"/>
      <c r="N94" s="786" t="s">
        <v>5</v>
      </c>
      <c r="O94" s="786"/>
      <c r="P94" s="786" t="s">
        <v>16</v>
      </c>
      <c r="Q94" s="787"/>
      <c r="R94" s="25"/>
      <c r="S94" s="28"/>
      <c r="T94" s="784" t="s">
        <v>5</v>
      </c>
      <c r="U94" s="784"/>
      <c r="V94" s="784" t="s">
        <v>16</v>
      </c>
      <c r="W94" s="785"/>
    </row>
    <row r="95" spans="1:24" ht="14.45" customHeight="1" x14ac:dyDescent="0.25">
      <c r="A95" s="30">
        <f>A71</f>
        <v>0.54166666666666674</v>
      </c>
      <c r="B95" s="31" t="str">
        <f>B89</f>
        <v>2eme A</v>
      </c>
      <c r="C95" s="31" t="str">
        <f>B90</f>
        <v>2eme B</v>
      </c>
      <c r="D95" s="53"/>
      <c r="E95" s="54"/>
      <c r="F95" s="2"/>
      <c r="G95" s="32">
        <f>A96+$J$62+R5</f>
        <v>0.56527777777777777</v>
      </c>
      <c r="H95" s="33" t="str">
        <f>H89</f>
        <v>2eme E</v>
      </c>
      <c r="I95" s="33" t="str">
        <f>H90</f>
        <v>2eme F</v>
      </c>
      <c r="J95" s="57"/>
      <c r="K95" s="58"/>
      <c r="L95" s="85"/>
      <c r="M95" s="34">
        <f>A95</f>
        <v>0.54166666666666674</v>
      </c>
      <c r="N95" s="35" t="str">
        <f>N89</f>
        <v>1er A</v>
      </c>
      <c r="O95" s="35" t="str">
        <f>N90</f>
        <v>1er B</v>
      </c>
      <c r="P95" s="61"/>
      <c r="Q95" s="62"/>
      <c r="R95" s="2"/>
      <c r="S95" s="36">
        <f>G95</f>
        <v>0.56527777777777777</v>
      </c>
      <c r="T95" s="37" t="str">
        <f>T89</f>
        <v>1er E</v>
      </c>
      <c r="U95" s="37" t="str">
        <f>T90</f>
        <v>1er F</v>
      </c>
      <c r="V95" s="65"/>
      <c r="W95" s="66"/>
    </row>
    <row r="96" spans="1:24" ht="14.45" customHeight="1" thickBot="1" x14ac:dyDescent="0.3">
      <c r="A96" s="38">
        <f>A95+$J$62+R5</f>
        <v>0.55347222222222225</v>
      </c>
      <c r="B96" s="39" t="str">
        <f>B91</f>
        <v>2eme C</v>
      </c>
      <c r="C96" s="39" t="str">
        <f>B92</f>
        <v>2eme D</v>
      </c>
      <c r="D96" s="55"/>
      <c r="E96" s="56"/>
      <c r="F96" s="2"/>
      <c r="G96" s="40">
        <f>G95+$J$62+R5</f>
        <v>0.57708333333333328</v>
      </c>
      <c r="H96" s="41" t="str">
        <f>H91</f>
        <v>2eme G</v>
      </c>
      <c r="I96" s="41" t="str">
        <f>H92</f>
        <v>2eme H</v>
      </c>
      <c r="J96" s="59"/>
      <c r="K96" s="60"/>
      <c r="L96" s="85"/>
      <c r="M96" s="42">
        <f>A96</f>
        <v>0.55347222222222225</v>
      </c>
      <c r="N96" s="43" t="str">
        <f>N91</f>
        <v>1er C</v>
      </c>
      <c r="O96" s="43" t="str">
        <f>N92</f>
        <v>1er D</v>
      </c>
      <c r="P96" s="63"/>
      <c r="Q96" s="64"/>
      <c r="R96" s="2"/>
      <c r="S96" s="44">
        <f>G96</f>
        <v>0.57708333333333328</v>
      </c>
      <c r="T96" s="45" t="str">
        <f>T91</f>
        <v>1er G</v>
      </c>
      <c r="U96" s="45" t="str">
        <f>T92</f>
        <v>1er H</v>
      </c>
      <c r="V96" s="67"/>
      <c r="W96" s="68"/>
    </row>
    <row r="97" spans="1:24" ht="5.0999999999999996" customHeight="1" thickBot="1" x14ac:dyDescent="0.3">
      <c r="A97" s="19"/>
      <c r="B97" s="2"/>
      <c r="C97" s="2"/>
      <c r="D97" s="521"/>
      <c r="E97" s="521"/>
      <c r="F97" s="2"/>
      <c r="G97" s="2"/>
      <c r="H97" s="2"/>
      <c r="I97" s="47"/>
      <c r="J97" s="521"/>
      <c r="K97" s="522"/>
      <c r="L97" s="85"/>
      <c r="M97" s="19"/>
      <c r="N97" s="2"/>
      <c r="O97" s="2"/>
      <c r="P97" s="521"/>
      <c r="Q97" s="521"/>
      <c r="R97" s="2"/>
      <c r="S97" s="566"/>
      <c r="T97" s="566"/>
      <c r="U97" s="566"/>
      <c r="V97" s="521"/>
      <c r="W97" s="522"/>
    </row>
    <row r="98" spans="1:24" x14ac:dyDescent="0.25">
      <c r="A98" s="24"/>
      <c r="B98" s="713" t="s">
        <v>6</v>
      </c>
      <c r="C98" s="713"/>
      <c r="D98" s="713" t="s">
        <v>16</v>
      </c>
      <c r="E98" s="714"/>
      <c r="F98" s="25"/>
      <c r="G98" s="26"/>
      <c r="H98" s="715" t="s">
        <v>6</v>
      </c>
      <c r="I98" s="715"/>
      <c r="J98" s="715" t="s">
        <v>16</v>
      </c>
      <c r="K98" s="716"/>
      <c r="L98" s="99"/>
      <c r="M98" s="27"/>
      <c r="N98" s="786" t="s">
        <v>6</v>
      </c>
      <c r="O98" s="786"/>
      <c r="P98" s="786" t="s">
        <v>16</v>
      </c>
      <c r="Q98" s="787"/>
      <c r="R98" s="25"/>
      <c r="S98" s="28"/>
      <c r="T98" s="784" t="s">
        <v>6</v>
      </c>
      <c r="U98" s="784"/>
      <c r="V98" s="784" t="s">
        <v>16</v>
      </c>
      <c r="W98" s="785"/>
    </row>
    <row r="99" spans="1:24" ht="14.45" customHeight="1" x14ac:dyDescent="0.25">
      <c r="A99" s="30">
        <f>G96+$J$62+R5</f>
        <v>0.5888888888888888</v>
      </c>
      <c r="B99" s="31" t="str">
        <f>B89</f>
        <v>2eme A</v>
      </c>
      <c r="C99" s="31" t="str">
        <f>B91</f>
        <v>2eme C</v>
      </c>
      <c r="D99" s="53"/>
      <c r="E99" s="54"/>
      <c r="F99" s="2"/>
      <c r="G99" s="32">
        <f>A100+$J$62+R5</f>
        <v>0.61249999999999982</v>
      </c>
      <c r="H99" s="33" t="str">
        <f>H89</f>
        <v>2eme E</v>
      </c>
      <c r="I99" s="33" t="str">
        <f>H91</f>
        <v>2eme G</v>
      </c>
      <c r="J99" s="57"/>
      <c r="K99" s="58"/>
      <c r="L99" s="85"/>
      <c r="M99" s="34">
        <f>A99</f>
        <v>0.5888888888888888</v>
      </c>
      <c r="N99" s="35" t="str">
        <f>N89</f>
        <v>1er A</v>
      </c>
      <c r="O99" s="35" t="str">
        <f>N91</f>
        <v>1er C</v>
      </c>
      <c r="P99" s="61"/>
      <c r="Q99" s="62"/>
      <c r="R99" s="2"/>
      <c r="S99" s="36">
        <f>G99</f>
        <v>0.61249999999999982</v>
      </c>
      <c r="T99" s="37" t="str">
        <f>T89</f>
        <v>1er E</v>
      </c>
      <c r="U99" s="37" t="str">
        <f>T91</f>
        <v>1er G</v>
      </c>
      <c r="V99" s="65"/>
      <c r="W99" s="66"/>
    </row>
    <row r="100" spans="1:24" ht="14.45" customHeight="1" thickBot="1" x14ac:dyDescent="0.3">
      <c r="A100" s="38">
        <f>A99+$J$62+R5</f>
        <v>0.60069444444444431</v>
      </c>
      <c r="B100" s="39" t="str">
        <f>B90</f>
        <v>2eme B</v>
      </c>
      <c r="C100" s="39" t="str">
        <f>B92</f>
        <v>2eme D</v>
      </c>
      <c r="D100" s="55"/>
      <c r="E100" s="56"/>
      <c r="F100" s="2"/>
      <c r="G100" s="40">
        <f>G99+$J$62+R5</f>
        <v>0.62430555555555534</v>
      </c>
      <c r="H100" s="41" t="str">
        <f>H90</f>
        <v>2eme F</v>
      </c>
      <c r="I100" s="41" t="str">
        <f>H92</f>
        <v>2eme H</v>
      </c>
      <c r="J100" s="59"/>
      <c r="K100" s="60"/>
      <c r="L100" s="85"/>
      <c r="M100" s="42">
        <f>A100</f>
        <v>0.60069444444444431</v>
      </c>
      <c r="N100" s="43" t="str">
        <f>N90</f>
        <v>1er B</v>
      </c>
      <c r="O100" s="43" t="str">
        <f>N92</f>
        <v>1er D</v>
      </c>
      <c r="P100" s="63"/>
      <c r="Q100" s="64"/>
      <c r="R100" s="2"/>
      <c r="S100" s="44">
        <f>G100</f>
        <v>0.62430555555555534</v>
      </c>
      <c r="T100" s="45" t="str">
        <f>T90</f>
        <v>1er F</v>
      </c>
      <c r="U100" s="45" t="str">
        <f>T92</f>
        <v>1er H</v>
      </c>
      <c r="V100" s="67"/>
      <c r="W100" s="68"/>
    </row>
    <row r="101" spans="1:24" ht="5.0999999999999996" customHeight="1" thickBot="1" x14ac:dyDescent="0.3">
      <c r="A101" s="19"/>
      <c r="B101" s="2"/>
      <c r="C101" s="2"/>
      <c r="D101" s="521"/>
      <c r="E101" s="521"/>
      <c r="F101" s="2"/>
      <c r="G101" s="2"/>
      <c r="H101" s="2"/>
      <c r="I101" s="47"/>
      <c r="J101" s="521"/>
      <c r="K101" s="522"/>
      <c r="L101" s="85"/>
      <c r="M101" s="19"/>
      <c r="N101" s="2"/>
      <c r="O101" s="2"/>
      <c r="P101" s="521"/>
      <c r="Q101" s="521"/>
      <c r="R101" s="2"/>
      <c r="S101" s="566"/>
      <c r="T101" s="566"/>
      <c r="U101" s="566"/>
      <c r="V101" s="521"/>
      <c r="W101" s="522"/>
    </row>
    <row r="102" spans="1:24" ht="14.45" customHeight="1" x14ac:dyDescent="0.25">
      <c r="A102" s="24"/>
      <c r="B102" s="713" t="s">
        <v>7</v>
      </c>
      <c r="C102" s="713"/>
      <c r="D102" s="713" t="s">
        <v>16</v>
      </c>
      <c r="E102" s="714"/>
      <c r="F102" s="25"/>
      <c r="G102" s="26"/>
      <c r="H102" s="715" t="s">
        <v>7</v>
      </c>
      <c r="I102" s="715"/>
      <c r="J102" s="715" t="s">
        <v>16</v>
      </c>
      <c r="K102" s="716"/>
      <c r="L102" s="99"/>
      <c r="M102" s="27"/>
      <c r="N102" s="786" t="s">
        <v>7</v>
      </c>
      <c r="O102" s="786"/>
      <c r="P102" s="786" t="s">
        <v>16</v>
      </c>
      <c r="Q102" s="787"/>
      <c r="R102" s="25"/>
      <c r="S102" s="28"/>
      <c r="T102" s="784" t="s">
        <v>7</v>
      </c>
      <c r="U102" s="784"/>
      <c r="V102" s="784" t="s">
        <v>16</v>
      </c>
      <c r="W102" s="785"/>
    </row>
    <row r="103" spans="1:24" ht="14.45" customHeight="1" x14ac:dyDescent="0.25">
      <c r="A103" s="30">
        <f>G100+$J$62+R5</f>
        <v>0.63611111111111085</v>
      </c>
      <c r="B103" s="31" t="str">
        <f>B89</f>
        <v>2eme A</v>
      </c>
      <c r="C103" s="31" t="str">
        <f>B92</f>
        <v>2eme D</v>
      </c>
      <c r="D103" s="53"/>
      <c r="E103" s="54"/>
      <c r="F103" s="2"/>
      <c r="G103" s="32">
        <f>A104+$J$62+R5</f>
        <v>0.65972222222222188</v>
      </c>
      <c r="H103" s="33" t="str">
        <f>H89</f>
        <v>2eme E</v>
      </c>
      <c r="I103" s="33" t="str">
        <f>H92</f>
        <v>2eme H</v>
      </c>
      <c r="J103" s="57"/>
      <c r="K103" s="58"/>
      <c r="L103" s="85"/>
      <c r="M103" s="34">
        <f>A103</f>
        <v>0.63611111111111085</v>
      </c>
      <c r="N103" s="35" t="str">
        <f>N89</f>
        <v>1er A</v>
      </c>
      <c r="O103" s="35" t="str">
        <f>N92</f>
        <v>1er D</v>
      </c>
      <c r="P103" s="61"/>
      <c r="Q103" s="62"/>
      <c r="R103" s="2"/>
      <c r="S103" s="36">
        <f>G103</f>
        <v>0.65972222222222188</v>
      </c>
      <c r="T103" s="37" t="str">
        <f>T89</f>
        <v>1er E</v>
      </c>
      <c r="U103" s="37" t="str">
        <f>T92</f>
        <v>1er H</v>
      </c>
      <c r="V103" s="65"/>
      <c r="W103" s="66"/>
    </row>
    <row r="104" spans="1:24" ht="15.75" thickBot="1" x14ac:dyDescent="0.3">
      <c r="A104" s="38">
        <f>A103+$J$62+R5</f>
        <v>0.64791666666666636</v>
      </c>
      <c r="B104" s="39" t="str">
        <f>B90</f>
        <v>2eme B</v>
      </c>
      <c r="C104" s="39" t="str">
        <f>B91</f>
        <v>2eme C</v>
      </c>
      <c r="D104" s="55"/>
      <c r="E104" s="56"/>
      <c r="F104" s="47"/>
      <c r="G104" s="40">
        <f>G103+$J$62+R5</f>
        <v>0.67152777777777739</v>
      </c>
      <c r="H104" s="41" t="str">
        <f>H90</f>
        <v>2eme F</v>
      </c>
      <c r="I104" s="41" t="str">
        <f>H91</f>
        <v>2eme G</v>
      </c>
      <c r="J104" s="59"/>
      <c r="K104" s="60"/>
      <c r="L104" s="89"/>
      <c r="M104" s="42">
        <f>A104</f>
        <v>0.64791666666666636</v>
      </c>
      <c r="N104" s="43" t="str">
        <f>N90</f>
        <v>1er B</v>
      </c>
      <c r="O104" s="43" t="str">
        <f>N91</f>
        <v>1er C</v>
      </c>
      <c r="P104" s="63"/>
      <c r="Q104" s="64"/>
      <c r="R104" s="47"/>
      <c r="S104" s="44">
        <f>G104</f>
        <v>0.67152777777777739</v>
      </c>
      <c r="T104" s="45" t="str">
        <f>T90</f>
        <v>1er F</v>
      </c>
      <c r="U104" s="45" t="str">
        <f>T91</f>
        <v>1er G</v>
      </c>
      <c r="V104" s="67"/>
      <c r="W104" s="68"/>
    </row>
    <row r="105" spans="1:24" ht="14.45" customHeight="1" thickBot="1" x14ac:dyDescent="0.3">
      <c r="A105" s="783" t="s">
        <v>301</v>
      </c>
      <c r="B105" s="762"/>
      <c r="C105" s="762"/>
      <c r="D105" s="762"/>
      <c r="E105" s="762"/>
      <c r="F105" s="762"/>
      <c r="G105" s="762"/>
      <c r="H105" s="762"/>
      <c r="I105" s="762"/>
      <c r="J105" s="762"/>
      <c r="K105" s="762"/>
      <c r="L105" s="762"/>
      <c r="M105" s="762"/>
      <c r="N105" s="762"/>
      <c r="O105" s="762"/>
      <c r="P105" s="762"/>
      <c r="Q105" s="762"/>
      <c r="R105" s="762"/>
      <c r="S105" s="762"/>
      <c r="T105" s="762"/>
      <c r="U105" s="762"/>
      <c r="V105" s="762"/>
      <c r="W105" s="763"/>
      <c r="X105" s="172"/>
    </row>
    <row r="106" spans="1:24" ht="14.45" customHeight="1" x14ac:dyDescent="0.25">
      <c r="A106" s="81" t="s">
        <v>21</v>
      </c>
      <c r="B106" s="711" t="s">
        <v>91</v>
      </c>
      <c r="C106" s="711"/>
      <c r="D106" s="711" t="s">
        <v>15</v>
      </c>
      <c r="E106" s="712"/>
      <c r="F106" s="122"/>
      <c r="G106" s="81" t="s">
        <v>21</v>
      </c>
      <c r="H106" s="711" t="s">
        <v>92</v>
      </c>
      <c r="I106" s="711"/>
      <c r="J106" s="711" t="s">
        <v>15</v>
      </c>
      <c r="K106" s="712"/>
      <c r="L106" s="75"/>
      <c r="M106" s="81" t="s">
        <v>21</v>
      </c>
      <c r="N106" s="711" t="s">
        <v>264</v>
      </c>
      <c r="O106" s="711"/>
      <c r="P106" s="711" t="s">
        <v>15</v>
      </c>
      <c r="Q106" s="712"/>
      <c r="R106" s="122"/>
      <c r="S106" s="81" t="s">
        <v>21</v>
      </c>
      <c r="T106" s="711" t="s">
        <v>265</v>
      </c>
      <c r="U106" s="711"/>
      <c r="V106" s="711" t="s">
        <v>15</v>
      </c>
      <c r="W106" s="712"/>
      <c r="X106" s="172"/>
    </row>
    <row r="107" spans="1:24" ht="14.45" customHeight="1" x14ac:dyDescent="0.25">
      <c r="A107" s="49">
        <v>1</v>
      </c>
      <c r="B107" s="680" t="str">
        <f>VLOOKUP($A107,$A$216:$D$219,2,FALSE)</f>
        <v>2eme A</v>
      </c>
      <c r="C107" s="680"/>
      <c r="D107" s="683">
        <f>VLOOKUP($A107,$A$216:$D$219,4,FALSE)</f>
        <v>3.9999999999999998E-7</v>
      </c>
      <c r="E107" s="684"/>
      <c r="F107" s="105"/>
      <c r="G107" s="49">
        <v>1</v>
      </c>
      <c r="H107" s="680" t="str">
        <f>VLOOKUP($G107,$G$216:$J$219,2,FALSE)</f>
        <v>2eme E</v>
      </c>
      <c r="I107" s="680"/>
      <c r="J107" s="681">
        <f>VLOOKUP($G107,$G$216:$J$219,4,FALSE)</f>
        <v>3.9999999999999998E-7</v>
      </c>
      <c r="K107" s="682"/>
      <c r="L107" s="76"/>
      <c r="M107" s="49">
        <v>1</v>
      </c>
      <c r="N107" s="824" t="str">
        <f>VLOOKUP($M107,$M$216:$P$219,2,FALSE)</f>
        <v>1er A</v>
      </c>
      <c r="O107" s="825"/>
      <c r="P107" s="767">
        <f>VLOOKUP($M107,$M$216:$P$219,4,FALSE)</f>
        <v>3.9999999999999998E-7</v>
      </c>
      <c r="Q107" s="922"/>
      <c r="R107" s="105"/>
      <c r="S107" s="49">
        <v>1</v>
      </c>
      <c r="T107" s="680" t="str">
        <f>VLOOKUP($S107,$S$216:$V$219,2,FALSE)</f>
        <v>1er E</v>
      </c>
      <c r="U107" s="680"/>
      <c r="V107" s="681">
        <f>VLOOKUP($S107,$S$216:$V$219,4,FALSE)</f>
        <v>3.9999999999999998E-7</v>
      </c>
      <c r="W107" s="682"/>
      <c r="X107" s="172"/>
    </row>
    <row r="108" spans="1:24" ht="14.45" customHeight="1" x14ac:dyDescent="0.25">
      <c r="A108" s="49">
        <v>2</v>
      </c>
      <c r="B108" s="680" t="str">
        <f>VLOOKUP($A108,$A$216:$D$219,2,FALSE)</f>
        <v>2eme B</v>
      </c>
      <c r="C108" s="680"/>
      <c r="D108" s="683">
        <f>VLOOKUP($A108,$A$216:$D$219,4,FALSE)</f>
        <v>2.9999999999999999E-7</v>
      </c>
      <c r="E108" s="684"/>
      <c r="F108" s="105"/>
      <c r="G108" s="49">
        <v>2</v>
      </c>
      <c r="H108" s="680" t="str">
        <f>VLOOKUP($G108,$G$216:$J$219,2,FALSE)</f>
        <v>2eme F</v>
      </c>
      <c r="I108" s="680"/>
      <c r="J108" s="681">
        <f>VLOOKUP($G108,$G$216:$J$219,4,FALSE)</f>
        <v>2.9999999999999999E-7</v>
      </c>
      <c r="K108" s="682"/>
      <c r="L108" s="76"/>
      <c r="M108" s="49">
        <v>2</v>
      </c>
      <c r="N108" s="824" t="str">
        <f>VLOOKUP($M108,$M$216:$P$219,2,FALSE)</f>
        <v>1er B</v>
      </c>
      <c r="O108" s="825"/>
      <c r="P108" s="767">
        <f>VLOOKUP($M108,$M$216:$P$219,4,FALSE)</f>
        <v>2.9999999999999999E-7</v>
      </c>
      <c r="Q108" s="922"/>
      <c r="R108" s="105"/>
      <c r="S108" s="49">
        <v>2</v>
      </c>
      <c r="T108" s="680" t="str">
        <f>VLOOKUP($S108,$S$216:$V$219,2,FALSE)</f>
        <v>1er F</v>
      </c>
      <c r="U108" s="680"/>
      <c r="V108" s="681">
        <f>VLOOKUP($S108,$S$216:$V$219,4,FALSE)</f>
        <v>2.9999999999999999E-7</v>
      </c>
      <c r="W108" s="682"/>
      <c r="X108" s="172"/>
    </row>
    <row r="109" spans="1:24" ht="15" customHeight="1" x14ac:dyDescent="0.25">
      <c r="A109" s="49">
        <v>3</v>
      </c>
      <c r="B109" s="680" t="str">
        <f>VLOOKUP($A109,$A$216:$D$219,2,FALSE)</f>
        <v>2eme C</v>
      </c>
      <c r="C109" s="680"/>
      <c r="D109" s="683">
        <f>VLOOKUP($A109,$A$216:$D$219,4,FALSE)</f>
        <v>1.9999999999999999E-7</v>
      </c>
      <c r="E109" s="684"/>
      <c r="F109" s="105"/>
      <c r="G109" s="49">
        <v>3</v>
      </c>
      <c r="H109" s="680" t="str">
        <f>VLOOKUP($G109,$G$216:$J$219,2,FALSE)</f>
        <v>2eme G</v>
      </c>
      <c r="I109" s="680"/>
      <c r="J109" s="681">
        <f>VLOOKUP($G109,$G$216:$J$219,4,FALSE)</f>
        <v>1.9999999999999999E-7</v>
      </c>
      <c r="K109" s="682"/>
      <c r="L109" s="76"/>
      <c r="M109" s="49">
        <v>3</v>
      </c>
      <c r="N109" s="824" t="str">
        <f>VLOOKUP($M109,$M$216:$P$219,2,FALSE)</f>
        <v>1er C</v>
      </c>
      <c r="O109" s="825"/>
      <c r="P109" s="767">
        <f>VLOOKUP($M109,$M$216:$P$219,4,FALSE)</f>
        <v>1.9999999999999999E-7</v>
      </c>
      <c r="Q109" s="922"/>
      <c r="R109" s="105"/>
      <c r="S109" s="49">
        <v>3</v>
      </c>
      <c r="T109" s="680" t="str">
        <f>VLOOKUP($S109,$S$216:$V$219,2,FALSE)</f>
        <v>1er G</v>
      </c>
      <c r="U109" s="680"/>
      <c r="V109" s="681">
        <f>VLOOKUP($S109,$S$216:$V$219,4,FALSE)</f>
        <v>1.9999999999999999E-7</v>
      </c>
      <c r="W109" s="682"/>
    </row>
    <row r="110" spans="1:24" s="2" customFormat="1" ht="15.75" thickBot="1" x14ac:dyDescent="0.3">
      <c r="A110" s="50">
        <v>4</v>
      </c>
      <c r="B110" s="706" t="str">
        <f>VLOOKUP($A110,$A$216:$D$219,2,FALSE)</f>
        <v>2eme D</v>
      </c>
      <c r="C110" s="706"/>
      <c r="D110" s="707">
        <f>VLOOKUP($A110,$A$216:$D$219,4,FALSE)</f>
        <v>9.9999999999999995E-8</v>
      </c>
      <c r="E110" s="708"/>
      <c r="F110" s="123"/>
      <c r="G110" s="50">
        <v>4</v>
      </c>
      <c r="H110" s="706" t="str">
        <f>VLOOKUP($G110,$G$216:$J$219,2,FALSE)</f>
        <v>2eme H</v>
      </c>
      <c r="I110" s="706"/>
      <c r="J110" s="709">
        <f>VLOOKUP($G110,$G$216:$J$219,4,FALSE)</f>
        <v>9.9999999999999995E-8</v>
      </c>
      <c r="K110" s="710"/>
      <c r="L110" s="78"/>
      <c r="M110" s="50">
        <v>4</v>
      </c>
      <c r="N110" s="1077" t="str">
        <f>VLOOKUP($M110,$M$216:$P$219,2,FALSE)</f>
        <v>1er D</v>
      </c>
      <c r="O110" s="1078"/>
      <c r="P110" s="761">
        <f>VLOOKUP($M110,$M$216:$P$219,4,FALSE)</f>
        <v>9.9999999999999995E-8</v>
      </c>
      <c r="Q110" s="1140"/>
      <c r="R110" s="123"/>
      <c r="S110" s="50">
        <v>4</v>
      </c>
      <c r="T110" s="706" t="str">
        <f>VLOOKUP($S110,$S$216:$V$219,2,FALSE)</f>
        <v>1er H</v>
      </c>
      <c r="U110" s="706"/>
      <c r="V110" s="709">
        <f>VLOOKUP($S110,$S$216:$V$219,4,FALSE)</f>
        <v>9.9999999999999995E-8</v>
      </c>
      <c r="W110" s="710"/>
    </row>
    <row r="111" spans="1:24" ht="15.75" thickBot="1" x14ac:dyDescent="0.3">
      <c r="A111" s="1087" t="s">
        <v>321</v>
      </c>
      <c r="B111" s="1088"/>
      <c r="C111" s="1088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9"/>
    </row>
    <row r="112" spans="1:24" ht="21.75" thickBot="1" x14ac:dyDescent="0.3">
      <c r="A112" s="1146" t="s">
        <v>302</v>
      </c>
      <c r="B112" s="1147"/>
      <c r="C112" s="1147"/>
      <c r="D112" s="1147"/>
      <c r="E112" s="1147"/>
      <c r="F112" s="1147"/>
      <c r="G112" s="1147"/>
      <c r="H112" s="1147"/>
      <c r="I112" s="511" t="s">
        <v>18</v>
      </c>
      <c r="J112" s="782">
        <v>8.3333333333333332E-3</v>
      </c>
      <c r="K112" s="782"/>
      <c r="L112" s="782"/>
      <c r="M112" s="512" t="s">
        <v>17</v>
      </c>
      <c r="N112" s="520"/>
      <c r="O112" s="686"/>
      <c r="P112" s="686"/>
      <c r="Q112" s="686"/>
      <c r="R112" s="686"/>
      <c r="S112" s="686"/>
      <c r="T112" s="686"/>
      <c r="U112" s="686"/>
      <c r="V112" s="686"/>
      <c r="W112" s="781"/>
    </row>
    <row r="113" spans="1:23" ht="16.5" thickBot="1" x14ac:dyDescent="0.3">
      <c r="A113" s="1131" t="s">
        <v>87</v>
      </c>
      <c r="B113" s="1132"/>
      <c r="C113" s="1132"/>
      <c r="D113" s="1132"/>
      <c r="E113" s="1133"/>
      <c r="F113" s="1134"/>
      <c r="G113" s="1131" t="s">
        <v>88</v>
      </c>
      <c r="H113" s="1132"/>
      <c r="I113" s="1132"/>
      <c r="J113" s="1132"/>
      <c r="K113" s="1133"/>
      <c r="L113" s="1137"/>
      <c r="M113" s="1131" t="s">
        <v>250</v>
      </c>
      <c r="N113" s="1132"/>
      <c r="O113" s="1132"/>
      <c r="P113" s="1132"/>
      <c r="Q113" s="1133"/>
      <c r="R113" s="1143"/>
      <c r="S113" s="1131" t="s">
        <v>251</v>
      </c>
      <c r="T113" s="1132"/>
      <c r="U113" s="1132"/>
      <c r="V113" s="1132"/>
      <c r="W113" s="1133"/>
    </row>
    <row r="114" spans="1:23" x14ac:dyDescent="0.25">
      <c r="A114" s="1000" t="s">
        <v>279</v>
      </c>
      <c r="B114" s="713"/>
      <c r="C114" s="713"/>
      <c r="D114" s="713" t="s">
        <v>16</v>
      </c>
      <c r="E114" s="714"/>
      <c r="F114" s="1135"/>
      <c r="G114" s="1101" t="s">
        <v>280</v>
      </c>
      <c r="H114" s="715"/>
      <c r="I114" s="715"/>
      <c r="J114" s="715" t="s">
        <v>16</v>
      </c>
      <c r="K114" s="716"/>
      <c r="L114" s="1138"/>
      <c r="M114" s="1102" t="s">
        <v>295</v>
      </c>
      <c r="N114" s="786"/>
      <c r="O114" s="786"/>
      <c r="P114" s="786" t="s">
        <v>16</v>
      </c>
      <c r="Q114" s="787"/>
      <c r="R114" s="1144"/>
      <c r="S114" s="1103" t="s">
        <v>294</v>
      </c>
      <c r="T114" s="784"/>
      <c r="U114" s="784"/>
      <c r="V114" s="784" t="s">
        <v>16</v>
      </c>
      <c r="W114" s="785"/>
    </row>
    <row r="115" spans="1:23" ht="15.75" thickBot="1" x14ac:dyDescent="0.3">
      <c r="A115" s="38">
        <f>G104+J112+R5</f>
        <v>0.6833333333333329</v>
      </c>
      <c r="B115" s="39" t="str">
        <f>IF($D$71="","4eme A",B86)</f>
        <v>4eme A</v>
      </c>
      <c r="C115" s="39" t="str">
        <f>IF($D$71="","4eme B",H86)</f>
        <v>4eme B</v>
      </c>
      <c r="D115" s="55"/>
      <c r="E115" s="56"/>
      <c r="F115" s="1135"/>
      <c r="G115" s="40">
        <f>A115</f>
        <v>0.6833333333333329</v>
      </c>
      <c r="H115" s="41" t="str">
        <f>IF($D$71="","3eme A",B85)</f>
        <v>3eme A</v>
      </c>
      <c r="I115" s="41" t="str">
        <f>IF($D$71="","3eme B",H85)</f>
        <v>3eme B</v>
      </c>
      <c r="J115" s="59"/>
      <c r="K115" s="60"/>
      <c r="L115" s="1138"/>
      <c r="M115" s="42">
        <f>A115</f>
        <v>0.6833333333333329</v>
      </c>
      <c r="N115" s="43" t="str">
        <f>IF($D$71="","4eme E",B110)</f>
        <v>4eme E</v>
      </c>
      <c r="O115" s="43" t="str">
        <f>IF($D$71="","4eme F",H110)</f>
        <v>4eme F</v>
      </c>
      <c r="P115" s="63"/>
      <c r="Q115" s="64"/>
      <c r="R115" s="1144"/>
      <c r="S115" s="44">
        <f>M115</f>
        <v>0.6833333333333329</v>
      </c>
      <c r="T115" s="45" t="str">
        <f>IF($D$71="","3eme E",B109)</f>
        <v>3eme E</v>
      </c>
      <c r="U115" s="45" t="str">
        <f>IF($D$71="","3eme F",H109)</f>
        <v>3eme F</v>
      </c>
      <c r="V115" s="67"/>
      <c r="W115" s="68"/>
    </row>
    <row r="116" spans="1:23" x14ac:dyDescent="0.25">
      <c r="A116" s="1000" t="s">
        <v>281</v>
      </c>
      <c r="B116" s="713"/>
      <c r="C116" s="713"/>
      <c r="D116" s="713" t="s">
        <v>16</v>
      </c>
      <c r="E116" s="714"/>
      <c r="F116" s="1135"/>
      <c r="G116" s="1101" t="s">
        <v>282</v>
      </c>
      <c r="H116" s="715"/>
      <c r="I116" s="715"/>
      <c r="J116" s="715" t="s">
        <v>16</v>
      </c>
      <c r="K116" s="716"/>
      <c r="L116" s="1138"/>
      <c r="M116" s="1102" t="s">
        <v>293</v>
      </c>
      <c r="N116" s="786"/>
      <c r="O116" s="786"/>
      <c r="P116" s="786" t="s">
        <v>16</v>
      </c>
      <c r="Q116" s="787"/>
      <c r="R116" s="1144"/>
      <c r="S116" s="1103" t="s">
        <v>292</v>
      </c>
      <c r="T116" s="784"/>
      <c r="U116" s="784"/>
      <c r="V116" s="784" t="s">
        <v>16</v>
      </c>
      <c r="W116" s="785"/>
    </row>
    <row r="117" spans="1:23" ht="15.75" thickBot="1" x14ac:dyDescent="0.3">
      <c r="A117" s="38">
        <f>A115+$J$112+R5</f>
        <v>0.69513888888888842</v>
      </c>
      <c r="B117" s="39" t="str">
        <f>IF($D$71="","2eme A",B84)</f>
        <v>2eme A</v>
      </c>
      <c r="C117" s="39" t="str">
        <f>IF($D$71="","2eme B",H84)</f>
        <v>2eme B</v>
      </c>
      <c r="D117" s="55"/>
      <c r="E117" s="56"/>
      <c r="F117" s="1135"/>
      <c r="G117" s="40">
        <f>A117</f>
        <v>0.69513888888888842</v>
      </c>
      <c r="H117" s="41" t="str">
        <f>IF($D$71="","1er A",B83)</f>
        <v>1er A</v>
      </c>
      <c r="I117" s="41" t="str">
        <f>IF($D$71="","1er B",H83)</f>
        <v>1er B</v>
      </c>
      <c r="J117" s="59"/>
      <c r="K117" s="60"/>
      <c r="L117" s="1138"/>
      <c r="M117" s="42">
        <f>A117</f>
        <v>0.69513888888888842</v>
      </c>
      <c r="N117" s="43" t="str">
        <f>IF($D$71="","2eme E",B108)</f>
        <v>2eme E</v>
      </c>
      <c r="O117" s="43" t="str">
        <f>IF($D$71="","2eme F",H108)</f>
        <v>2eme F</v>
      </c>
      <c r="P117" s="63"/>
      <c r="Q117" s="64"/>
      <c r="R117" s="1144"/>
      <c r="S117" s="44">
        <f>M117</f>
        <v>0.69513888888888842</v>
      </c>
      <c r="T117" s="45" t="str">
        <f>IF($D$71="","1er E",B107)</f>
        <v>1er E</v>
      </c>
      <c r="U117" s="45" t="str">
        <f>IF($D$71="","1er F",H107)</f>
        <v>1er F</v>
      </c>
      <c r="V117" s="67"/>
      <c r="W117" s="68"/>
    </row>
    <row r="118" spans="1:23" x14ac:dyDescent="0.25">
      <c r="A118" s="1000" t="s">
        <v>283</v>
      </c>
      <c r="B118" s="713"/>
      <c r="C118" s="713"/>
      <c r="D118" s="713" t="s">
        <v>16</v>
      </c>
      <c r="E118" s="714"/>
      <c r="F118" s="1135"/>
      <c r="G118" s="1101" t="s">
        <v>284</v>
      </c>
      <c r="H118" s="715"/>
      <c r="I118" s="715"/>
      <c r="J118" s="715" t="s">
        <v>16</v>
      </c>
      <c r="K118" s="716"/>
      <c r="L118" s="1138"/>
      <c r="M118" s="1102" t="s">
        <v>289</v>
      </c>
      <c r="N118" s="786"/>
      <c r="O118" s="786"/>
      <c r="P118" s="786" t="s">
        <v>16</v>
      </c>
      <c r="Q118" s="787"/>
      <c r="R118" s="1144"/>
      <c r="S118" s="1103" t="s">
        <v>309</v>
      </c>
      <c r="T118" s="784"/>
      <c r="U118" s="784"/>
      <c r="V118" s="784" t="s">
        <v>16</v>
      </c>
      <c r="W118" s="785"/>
    </row>
    <row r="119" spans="1:23" ht="15.75" thickBot="1" x14ac:dyDescent="0.3">
      <c r="A119" s="38">
        <f>A117+J112+R5</f>
        <v>0.70694444444444393</v>
      </c>
      <c r="B119" s="39" t="str">
        <f>IF($D$71="","4eme C",N86)</f>
        <v>4eme C</v>
      </c>
      <c r="C119" s="39" t="str">
        <f>IF($D$71="","4eme D",T86)</f>
        <v>4eme D</v>
      </c>
      <c r="D119" s="55"/>
      <c r="E119" s="56"/>
      <c r="F119" s="1135"/>
      <c r="G119" s="40">
        <f>A119</f>
        <v>0.70694444444444393</v>
      </c>
      <c r="H119" s="41" t="str">
        <f>IF($D$71="","3eme C",N85)</f>
        <v>3eme C</v>
      </c>
      <c r="I119" s="41" t="str">
        <f>IF($D$71="","3eme D",T85)</f>
        <v>3eme D</v>
      </c>
      <c r="J119" s="59"/>
      <c r="K119" s="60"/>
      <c r="L119" s="1138"/>
      <c r="M119" s="42">
        <f>A119</f>
        <v>0.70694444444444393</v>
      </c>
      <c r="N119" s="43" t="str">
        <f>IF($D$71="","4eme G",N110)</f>
        <v>4eme G</v>
      </c>
      <c r="O119" s="43" t="str">
        <f>IF($D$71="","4eme H",T110)</f>
        <v>4eme H</v>
      </c>
      <c r="P119" s="63"/>
      <c r="Q119" s="64"/>
      <c r="R119" s="1144"/>
      <c r="S119" s="44">
        <f>M119</f>
        <v>0.70694444444444393</v>
      </c>
      <c r="T119" s="45" t="str">
        <f>IF($D$71="","3eme G",N109)</f>
        <v>3eme G</v>
      </c>
      <c r="U119" s="45" t="str">
        <f>IF($D$71="","3eme H",T109)</f>
        <v>3eme H</v>
      </c>
      <c r="V119" s="67"/>
      <c r="W119" s="68"/>
    </row>
    <row r="120" spans="1:23" x14ac:dyDescent="0.25">
      <c r="A120" s="1000" t="s">
        <v>307</v>
      </c>
      <c r="B120" s="713"/>
      <c r="C120" s="713"/>
      <c r="D120" s="713" t="s">
        <v>16</v>
      </c>
      <c r="E120" s="714"/>
      <c r="F120" s="1135"/>
      <c r="G120" s="1101" t="s">
        <v>308</v>
      </c>
      <c r="H120" s="715"/>
      <c r="I120" s="715"/>
      <c r="J120" s="715" t="s">
        <v>16</v>
      </c>
      <c r="K120" s="716"/>
      <c r="L120" s="1138"/>
      <c r="M120" s="1102" t="s">
        <v>310</v>
      </c>
      <c r="N120" s="786"/>
      <c r="O120" s="786"/>
      <c r="P120" s="786" t="s">
        <v>16</v>
      </c>
      <c r="Q120" s="787"/>
      <c r="R120" s="1144"/>
      <c r="S120" s="1103" t="s">
        <v>72</v>
      </c>
      <c r="T120" s="784"/>
      <c r="U120" s="784"/>
      <c r="V120" s="784" t="s">
        <v>16</v>
      </c>
      <c r="W120" s="785"/>
    </row>
    <row r="121" spans="1:23" ht="15.75" thickBot="1" x14ac:dyDescent="0.3">
      <c r="A121" s="38">
        <f>A119+$J$112+R5</f>
        <v>0.71874999999999944</v>
      </c>
      <c r="B121" s="39" t="str">
        <f>IF($D$71="","2eme C",N84)</f>
        <v>2eme C</v>
      </c>
      <c r="C121" s="39" t="str">
        <f>IF($D$71="","2eme D",T84)</f>
        <v>2eme D</v>
      </c>
      <c r="D121" s="55"/>
      <c r="E121" s="56"/>
      <c r="F121" s="1136"/>
      <c r="G121" s="40">
        <f>A121</f>
        <v>0.71874999999999944</v>
      </c>
      <c r="H121" s="41" t="str">
        <f>IF($D$71="","1er C",N83)</f>
        <v>1er C</v>
      </c>
      <c r="I121" s="41" t="str">
        <f>IF($D$71="","1er D",T83)</f>
        <v>1er D</v>
      </c>
      <c r="J121" s="59"/>
      <c r="K121" s="60"/>
      <c r="L121" s="1139"/>
      <c r="M121" s="42">
        <f>A121</f>
        <v>0.71874999999999944</v>
      </c>
      <c r="N121" s="43" t="str">
        <f>IF($D$71="","2eme G",N108)</f>
        <v>2eme G</v>
      </c>
      <c r="O121" s="43" t="str">
        <f>IF($D$71="","2eme H",T108)</f>
        <v>2eme H</v>
      </c>
      <c r="P121" s="63"/>
      <c r="Q121" s="64"/>
      <c r="R121" s="1145"/>
      <c r="S121" s="44">
        <f>M121</f>
        <v>0.71874999999999944</v>
      </c>
      <c r="T121" s="45" t="str">
        <f>IF($D$71="","1er G",N107)</f>
        <v>1er G</v>
      </c>
      <c r="U121" s="45" t="str">
        <f>IF($D$71="","1er H",T107)</f>
        <v>1er H</v>
      </c>
      <c r="V121" s="67"/>
      <c r="W121" s="68"/>
    </row>
    <row r="122" spans="1:23" ht="16.5" thickBot="1" x14ac:dyDescent="0.3">
      <c r="A122" s="702" t="s">
        <v>47</v>
      </c>
      <c r="B122" s="673"/>
      <c r="C122" s="673"/>
      <c r="D122" s="673"/>
      <c r="E122" s="673"/>
      <c r="F122" s="673"/>
      <c r="G122" s="673"/>
      <c r="H122" s="673"/>
      <c r="I122" s="673"/>
      <c r="J122" s="673"/>
      <c r="K122" s="673"/>
      <c r="L122" s="673"/>
      <c r="M122" s="673"/>
      <c r="N122" s="673"/>
      <c r="O122" s="673"/>
      <c r="P122" s="673"/>
      <c r="Q122" s="673"/>
      <c r="R122" s="673"/>
      <c r="S122" s="673"/>
      <c r="T122" s="762"/>
      <c r="U122" s="762"/>
      <c r="V122" s="762"/>
      <c r="W122" s="763"/>
    </row>
    <row r="123" spans="1:23" x14ac:dyDescent="0.25">
      <c r="A123" s="508">
        <v>1</v>
      </c>
      <c r="B123" s="1117" t="str">
        <f>IF(V121&gt;W121,T121,IF(V121=W121," ",U121))</f>
        <v xml:space="preserve"> </v>
      </c>
      <c r="C123" s="1117"/>
      <c r="D123" s="1117"/>
      <c r="E123" s="1117"/>
      <c r="F123" s="1117"/>
      <c r="G123" s="513">
        <v>9</v>
      </c>
      <c r="H123" s="1117" t="str">
        <f>IF(V117&gt;W117,T117,IF(V117=W117," ",U117))</f>
        <v xml:space="preserve"> </v>
      </c>
      <c r="I123" s="1117"/>
      <c r="J123" s="1117"/>
      <c r="K123" s="1117"/>
      <c r="L123" s="1117"/>
      <c r="M123" s="513">
        <v>17</v>
      </c>
      <c r="N123" s="1117" t="str">
        <f>IF(J121&gt;K121,H121,IF(J121=K121," ",I121))</f>
        <v xml:space="preserve"> </v>
      </c>
      <c r="O123" s="1117"/>
      <c r="P123" s="1117"/>
      <c r="Q123" s="1117"/>
      <c r="R123" s="1117"/>
      <c r="S123" s="513">
        <v>25</v>
      </c>
      <c r="T123" s="1117" t="str">
        <f>IF(J117&gt;K117,H117,IF(J117=K117," ",I117))</f>
        <v xml:space="preserve"> </v>
      </c>
      <c r="U123" s="1117"/>
      <c r="V123" s="1117"/>
      <c r="W123" s="1118"/>
    </row>
    <row r="124" spans="1:23" x14ac:dyDescent="0.25">
      <c r="A124" s="49">
        <v>2</v>
      </c>
      <c r="B124" s="1113" t="str">
        <f>IF(V121&lt;W121,T121,IF(V121=W121," ",U121))</f>
        <v xml:space="preserve"> </v>
      </c>
      <c r="C124" s="1113"/>
      <c r="D124" s="1113"/>
      <c r="E124" s="1113"/>
      <c r="F124" s="1113"/>
      <c r="G124" s="514">
        <v>10</v>
      </c>
      <c r="H124" s="1113" t="str">
        <f>IF(V117&lt;W117,T117,IF(V117=W117," ",U117))</f>
        <v xml:space="preserve"> </v>
      </c>
      <c r="I124" s="1113"/>
      <c r="J124" s="1113"/>
      <c r="K124" s="1113"/>
      <c r="L124" s="1113"/>
      <c r="M124" s="514">
        <v>18</v>
      </c>
      <c r="N124" s="1113" t="str">
        <f>IF(J121&lt;K121,H121,IF(J121=K121," ",I121))</f>
        <v xml:space="preserve"> </v>
      </c>
      <c r="O124" s="1113"/>
      <c r="P124" s="1113"/>
      <c r="Q124" s="1113"/>
      <c r="R124" s="1113"/>
      <c r="S124" s="514">
        <v>26</v>
      </c>
      <c r="T124" s="1113" t="str">
        <f>IF(J117&lt;K117,H117,IF(J117=K117," ",I117))</f>
        <v xml:space="preserve"> </v>
      </c>
      <c r="U124" s="1113"/>
      <c r="V124" s="1113"/>
      <c r="W124" s="1114"/>
    </row>
    <row r="125" spans="1:23" x14ac:dyDescent="0.25">
      <c r="A125" s="49">
        <v>3</v>
      </c>
      <c r="B125" s="1113" t="str">
        <f>IF(P121&gt;Q121,N121,IF(P121=Q121," ",O121))</f>
        <v xml:space="preserve"> </v>
      </c>
      <c r="C125" s="1113"/>
      <c r="D125" s="1113"/>
      <c r="E125" s="1113"/>
      <c r="F125" s="1113"/>
      <c r="G125" s="514">
        <v>11</v>
      </c>
      <c r="H125" s="1113" t="str">
        <f>IF(P117&gt;Q117,N117,IF(P117=Q117," ",O117))</f>
        <v xml:space="preserve"> </v>
      </c>
      <c r="I125" s="1113"/>
      <c r="J125" s="1113"/>
      <c r="K125" s="1113"/>
      <c r="L125" s="1113"/>
      <c r="M125" s="514">
        <v>19</v>
      </c>
      <c r="N125" s="1113" t="str">
        <f>IF(D121&gt;E121,B121,IF(D121=E121," ",C121))</f>
        <v xml:space="preserve"> </v>
      </c>
      <c r="O125" s="1113"/>
      <c r="P125" s="1113"/>
      <c r="Q125" s="1113"/>
      <c r="R125" s="1113"/>
      <c r="S125" s="514">
        <v>27</v>
      </c>
      <c r="T125" s="1113" t="str">
        <f>IF(D117&gt;E117,B117,IF(D117=E117," ",C117))</f>
        <v xml:space="preserve"> </v>
      </c>
      <c r="U125" s="1113"/>
      <c r="V125" s="1113"/>
      <c r="W125" s="1114"/>
    </row>
    <row r="126" spans="1:23" x14ac:dyDescent="0.25">
      <c r="A126" s="49">
        <v>4</v>
      </c>
      <c r="B126" s="1113" t="str">
        <f>IF(P121&lt;Q121,N121,IF(P121=Q121," ",O121))</f>
        <v xml:space="preserve"> </v>
      </c>
      <c r="C126" s="1113"/>
      <c r="D126" s="1113"/>
      <c r="E126" s="1113"/>
      <c r="F126" s="1113"/>
      <c r="G126" s="514">
        <v>12</v>
      </c>
      <c r="H126" s="1113" t="str">
        <f>IF(P117&lt;Q117,N117,IF(P117=Q117," ",O117))</f>
        <v xml:space="preserve"> </v>
      </c>
      <c r="I126" s="1113"/>
      <c r="J126" s="1113"/>
      <c r="K126" s="1113"/>
      <c r="L126" s="1113"/>
      <c r="M126" s="514">
        <v>20</v>
      </c>
      <c r="N126" s="1113" t="str">
        <f>IF(D121&lt;E121,B121,IF(D121=E121," ",C121))</f>
        <v xml:space="preserve"> </v>
      </c>
      <c r="O126" s="1113"/>
      <c r="P126" s="1113"/>
      <c r="Q126" s="1113"/>
      <c r="R126" s="1113"/>
      <c r="S126" s="514">
        <v>28</v>
      </c>
      <c r="T126" s="1113" t="str">
        <f>IF(D117&lt;E117,B117,IF(D117=E117," ",C117))</f>
        <v xml:space="preserve"> </v>
      </c>
      <c r="U126" s="1113"/>
      <c r="V126" s="1113"/>
      <c r="W126" s="1114"/>
    </row>
    <row r="127" spans="1:23" x14ac:dyDescent="0.25">
      <c r="A127" s="49">
        <v>5</v>
      </c>
      <c r="B127" s="1113" t="str">
        <f>IF(V119&gt;W119,T119,IF(V119=W119," ",U119))</f>
        <v xml:space="preserve"> </v>
      </c>
      <c r="C127" s="1113"/>
      <c r="D127" s="1113"/>
      <c r="E127" s="1113"/>
      <c r="F127" s="1113"/>
      <c r="G127" s="514">
        <v>13</v>
      </c>
      <c r="H127" s="1113" t="str">
        <f>IF(V115&gt;W115,T115,IF(V115=W115," ",U115))</f>
        <v xml:space="preserve"> </v>
      </c>
      <c r="I127" s="1113"/>
      <c r="J127" s="1113"/>
      <c r="K127" s="1113"/>
      <c r="L127" s="1113"/>
      <c r="M127" s="514">
        <v>21</v>
      </c>
      <c r="N127" s="1113" t="str">
        <f>IF(J119&gt;K119,H119,IF(J119=K119," ",I119))</f>
        <v xml:space="preserve"> </v>
      </c>
      <c r="O127" s="1113"/>
      <c r="P127" s="1113"/>
      <c r="Q127" s="1113"/>
      <c r="R127" s="1113"/>
      <c r="S127" s="514">
        <v>29</v>
      </c>
      <c r="T127" s="1113" t="str">
        <f>IF(J115&gt;K115,H115,IF(J115=K115," ",I115))</f>
        <v xml:space="preserve"> </v>
      </c>
      <c r="U127" s="1113"/>
      <c r="V127" s="1113"/>
      <c r="W127" s="1114"/>
    </row>
    <row r="128" spans="1:23" x14ac:dyDescent="0.25">
      <c r="A128" s="49">
        <v>6</v>
      </c>
      <c r="B128" s="1113" t="str">
        <f>IF(V119&lt;W119,T119,IF(V119=W119," ",U119))</f>
        <v xml:space="preserve"> </v>
      </c>
      <c r="C128" s="1113"/>
      <c r="D128" s="1113"/>
      <c r="E128" s="1113"/>
      <c r="F128" s="1113"/>
      <c r="G128" s="514">
        <v>14</v>
      </c>
      <c r="H128" s="1113" t="str">
        <f>IF(V115&lt;W115,T115,IF(V115=W115," ",U115))</f>
        <v xml:space="preserve"> </v>
      </c>
      <c r="I128" s="1113"/>
      <c r="J128" s="1113"/>
      <c r="K128" s="1113"/>
      <c r="L128" s="1113"/>
      <c r="M128" s="514">
        <v>22</v>
      </c>
      <c r="N128" s="1113" t="str">
        <f>IF(J119&lt;K119,H119,IF(J119=K119," ",I119))</f>
        <v xml:space="preserve"> </v>
      </c>
      <c r="O128" s="1113"/>
      <c r="P128" s="1113"/>
      <c r="Q128" s="1113"/>
      <c r="R128" s="1113"/>
      <c r="S128" s="514">
        <v>30</v>
      </c>
      <c r="T128" s="1113" t="str">
        <f>IF(J115&lt;K115,H115,IF(J115=K115," ",I115))</f>
        <v xml:space="preserve"> </v>
      </c>
      <c r="U128" s="1113"/>
      <c r="V128" s="1113"/>
      <c r="W128" s="1114"/>
    </row>
    <row r="129" spans="1:23" x14ac:dyDescent="0.25">
      <c r="A129" s="49">
        <v>7</v>
      </c>
      <c r="B129" s="1113" t="str">
        <f>IF(P119&gt;Q119,N119,IF(P119=Q119," ",O119))</f>
        <v xml:space="preserve"> </v>
      </c>
      <c r="C129" s="1113"/>
      <c r="D129" s="1113"/>
      <c r="E129" s="1113"/>
      <c r="F129" s="1113"/>
      <c r="G129" s="514">
        <v>15</v>
      </c>
      <c r="H129" s="1113" t="str">
        <f>IF(P115&gt;Q115,N115,IF(P115=Q115," ",O115))</f>
        <v xml:space="preserve"> </v>
      </c>
      <c r="I129" s="1113"/>
      <c r="J129" s="1113"/>
      <c r="K129" s="1113"/>
      <c r="L129" s="1113"/>
      <c r="M129" s="514">
        <v>23</v>
      </c>
      <c r="N129" s="1113" t="str">
        <f>IF(D119&gt;E119,B119,IF(D119=E119," ",C119))</f>
        <v xml:space="preserve"> </v>
      </c>
      <c r="O129" s="1113"/>
      <c r="P129" s="1113"/>
      <c r="Q129" s="1113"/>
      <c r="R129" s="1113"/>
      <c r="S129" s="514">
        <v>31</v>
      </c>
      <c r="T129" s="1113" t="str">
        <f>IF(D115&gt;E115,B115,IF(D115=E115," ",C115))</f>
        <v xml:space="preserve"> </v>
      </c>
      <c r="U129" s="1113"/>
      <c r="V129" s="1113"/>
      <c r="W129" s="1114"/>
    </row>
    <row r="130" spans="1:23" ht="15.75" thickBot="1" x14ac:dyDescent="0.3">
      <c r="A130" s="50">
        <v>8</v>
      </c>
      <c r="B130" s="1115" t="str">
        <f>IF(P119&lt;Q119,N119,IF(P119=Q119," ",O119))</f>
        <v xml:space="preserve"> </v>
      </c>
      <c r="C130" s="1115"/>
      <c r="D130" s="1115"/>
      <c r="E130" s="1115"/>
      <c r="F130" s="1115"/>
      <c r="G130" s="515">
        <v>16</v>
      </c>
      <c r="H130" s="1115" t="str">
        <f>IF(P115&lt;Q115,N115,IF(P115=Q115," ",O115))</f>
        <v xml:space="preserve"> </v>
      </c>
      <c r="I130" s="1115"/>
      <c r="J130" s="1115"/>
      <c r="K130" s="1115"/>
      <c r="L130" s="1115"/>
      <c r="M130" s="515">
        <v>24</v>
      </c>
      <c r="N130" s="1115" t="str">
        <f>IF(D119&lt;E119,B119,IF(D119=E119," ",C119))</f>
        <v xml:space="preserve"> </v>
      </c>
      <c r="O130" s="1115"/>
      <c r="P130" s="1115"/>
      <c r="Q130" s="1115"/>
      <c r="R130" s="1115"/>
      <c r="S130" s="515">
        <v>32</v>
      </c>
      <c r="T130" s="1115" t="str">
        <f>IF(D115&lt;E115,B115,IF(D115=E115," ",C115))</f>
        <v xml:space="preserve"> </v>
      </c>
      <c r="U130" s="1115"/>
      <c r="V130" s="1115"/>
      <c r="W130" s="1116"/>
    </row>
    <row r="131" spans="1:23" x14ac:dyDescent="0.25">
      <c r="A131" s="771" t="s">
        <v>330</v>
      </c>
      <c r="B131" s="771"/>
      <c r="C131" s="771"/>
      <c r="D131" s="771"/>
      <c r="E131" s="771"/>
      <c r="F131" s="771"/>
      <c r="G131" s="771"/>
      <c r="H131" s="771"/>
      <c r="I131" s="771"/>
      <c r="J131" s="771"/>
      <c r="K131" s="771"/>
      <c r="L131" s="771"/>
      <c r="M131" s="771"/>
      <c r="N131" s="771"/>
      <c r="O131" s="771"/>
      <c r="P131" s="771"/>
      <c r="Q131" s="771"/>
      <c r="R131" s="771"/>
      <c r="S131" s="771"/>
      <c r="T131" s="771"/>
      <c r="U131" s="771"/>
      <c r="V131" s="771"/>
      <c r="W131" s="771"/>
    </row>
    <row r="132" spans="1:23" ht="15.75" hidden="1" thickBo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6.5" hidden="1" thickBot="1" x14ac:dyDescent="0.3">
      <c r="A133" s="670" t="s">
        <v>49</v>
      </c>
      <c r="B133" s="671"/>
      <c r="C133" s="671"/>
      <c r="D133" s="671"/>
      <c r="E133" s="671"/>
      <c r="F133" s="671"/>
      <c r="G133" s="671"/>
      <c r="H133" s="671"/>
      <c r="I133" s="671"/>
      <c r="J133" s="671"/>
      <c r="K133" s="671"/>
      <c r="L133" s="671"/>
      <c r="M133" s="671"/>
      <c r="N133" s="671"/>
      <c r="O133" s="671"/>
      <c r="P133" s="671"/>
      <c r="Q133" s="671"/>
      <c r="R133" s="671"/>
      <c r="S133" s="671"/>
      <c r="T133" s="671"/>
      <c r="U133" s="671"/>
      <c r="V133" s="671"/>
      <c r="W133" s="672"/>
    </row>
    <row r="134" spans="1:23" hidden="1" x14ac:dyDescent="0.25">
      <c r="A134" s="96"/>
      <c r="B134" s="711" t="s">
        <v>1</v>
      </c>
      <c r="C134" s="711"/>
      <c r="D134" s="711" t="s">
        <v>15</v>
      </c>
      <c r="E134" s="772"/>
      <c r="F134" s="773"/>
      <c r="G134" s="121"/>
      <c r="H134" s="711" t="s">
        <v>2</v>
      </c>
      <c r="I134" s="711"/>
      <c r="J134" s="711" t="s">
        <v>15</v>
      </c>
      <c r="K134" s="772"/>
      <c r="L134" s="75"/>
      <c r="M134" s="121"/>
      <c r="N134" s="711" t="s">
        <v>3</v>
      </c>
      <c r="O134" s="711"/>
      <c r="P134" s="711" t="s">
        <v>15</v>
      </c>
      <c r="Q134" s="772"/>
      <c r="R134" s="122"/>
      <c r="S134" s="96"/>
      <c r="T134" s="711" t="s">
        <v>4</v>
      </c>
      <c r="U134" s="711"/>
      <c r="V134" s="711" t="s">
        <v>15</v>
      </c>
      <c r="W134" s="712"/>
    </row>
    <row r="135" spans="1:23" hidden="1" x14ac:dyDescent="0.25">
      <c r="A135" s="86">
        <f>RANK(D135,$D$135:$D$138)</f>
        <v>1</v>
      </c>
      <c r="B135" s="69" t="str">
        <f>B10</f>
        <v>Equipe 1</v>
      </c>
      <c r="C135" s="69">
        <f>D16-E16+D20-E20+D24-E24</f>
        <v>0</v>
      </c>
      <c r="D135" s="681">
        <f>D10+4/10000000</f>
        <v>3.9999999999999998E-7</v>
      </c>
      <c r="E135" s="767"/>
      <c r="F135" s="774"/>
      <c r="G135" s="91">
        <f>RANK(J135,$J$135:$J$138)</f>
        <v>1</v>
      </c>
      <c r="H135" s="69" t="str">
        <f>H10</f>
        <v>Equipe 5</v>
      </c>
      <c r="I135" s="69">
        <f>J16-K16+J20-K20+J24-K24</f>
        <v>0</v>
      </c>
      <c r="J135" s="681">
        <f>J10+4/10000000</f>
        <v>3.9999999999999998E-7</v>
      </c>
      <c r="K135" s="767"/>
      <c r="L135" s="76"/>
      <c r="M135" s="91">
        <f>RANK(P135,$P$135:$P$138)</f>
        <v>1</v>
      </c>
      <c r="N135" s="69" t="str">
        <f>N10</f>
        <v>Equipe 9</v>
      </c>
      <c r="O135" s="69">
        <f>P16-Q16+P20-Q20+P24-Q24</f>
        <v>0</v>
      </c>
      <c r="P135" s="681">
        <f>P10+4/10000000</f>
        <v>3.9999999999999998E-7</v>
      </c>
      <c r="Q135" s="767"/>
      <c r="R135" s="105"/>
      <c r="S135" s="86">
        <f>RANK(V135,$V$135:$V$138)</f>
        <v>1</v>
      </c>
      <c r="T135" s="69" t="str">
        <f>T10</f>
        <v>Equipe 13</v>
      </c>
      <c r="U135" s="69">
        <f>V16-W16+V20-W20+V24-W24</f>
        <v>0</v>
      </c>
      <c r="V135" s="681">
        <f>V10+4/10000000</f>
        <v>3.9999999999999998E-7</v>
      </c>
      <c r="W135" s="682"/>
    </row>
    <row r="136" spans="1:23" hidden="1" x14ac:dyDescent="0.25">
      <c r="A136" s="86">
        <f t="shared" ref="A136:A138" si="0">RANK(D136,$D$135:$D$138)</f>
        <v>2</v>
      </c>
      <c r="B136" s="69" t="str">
        <f>B11</f>
        <v>Equipe 2</v>
      </c>
      <c r="C136" s="69">
        <f>E16-D16+D21-E21+D25-E25</f>
        <v>0</v>
      </c>
      <c r="D136" s="681">
        <f>D11+3/10000000</f>
        <v>2.9999999999999999E-7</v>
      </c>
      <c r="E136" s="767"/>
      <c r="F136" s="774"/>
      <c r="G136" s="91">
        <f t="shared" ref="G136:G138" si="1">RANK(J136,$J$135:$J$138)</f>
        <v>2</v>
      </c>
      <c r="H136" s="69" t="str">
        <f>H11</f>
        <v>Equipe 6</v>
      </c>
      <c r="I136" s="69">
        <f>K16-J16+J21-K21+J25-K25</f>
        <v>0</v>
      </c>
      <c r="J136" s="681">
        <f>J11+3/10000000</f>
        <v>2.9999999999999999E-7</v>
      </c>
      <c r="K136" s="767"/>
      <c r="L136" s="76"/>
      <c r="M136" s="91">
        <f t="shared" ref="M136:M138" si="2">RANK(P136,$P$135:$P$138)</f>
        <v>2</v>
      </c>
      <c r="N136" s="69" t="str">
        <f>N11</f>
        <v>Equipe 10</v>
      </c>
      <c r="O136" s="69">
        <f>Q16-P16+P21-Q21+P25-Q25</f>
        <v>0</v>
      </c>
      <c r="P136" s="681">
        <f>P11+3/10000000</f>
        <v>2.9999999999999999E-7</v>
      </c>
      <c r="Q136" s="767"/>
      <c r="R136" s="105"/>
      <c r="S136" s="86">
        <f t="shared" ref="S136:S138" si="3">RANK(V136,$V$135:$V$138)</f>
        <v>2</v>
      </c>
      <c r="T136" s="69" t="str">
        <f>T11</f>
        <v>Equipe 14</v>
      </c>
      <c r="U136" s="69">
        <f>W16-V16+V21-W21+V25-W25</f>
        <v>0</v>
      </c>
      <c r="V136" s="681">
        <f>V11+3/10000000</f>
        <v>2.9999999999999999E-7</v>
      </c>
      <c r="W136" s="682"/>
    </row>
    <row r="137" spans="1:23" hidden="1" x14ac:dyDescent="0.25">
      <c r="A137" s="86">
        <f t="shared" si="0"/>
        <v>3</v>
      </c>
      <c r="B137" s="69" t="str">
        <f>B12</f>
        <v>Equipe 3</v>
      </c>
      <c r="C137" s="69">
        <f>D17-E17+E20-D20+E25-D25</f>
        <v>0</v>
      </c>
      <c r="D137" s="681">
        <f>D12+2/10000000</f>
        <v>1.9999999999999999E-7</v>
      </c>
      <c r="E137" s="767"/>
      <c r="F137" s="774"/>
      <c r="G137" s="91">
        <f t="shared" si="1"/>
        <v>3</v>
      </c>
      <c r="H137" s="69" t="str">
        <f>H12</f>
        <v>Equipe 7</v>
      </c>
      <c r="I137" s="69">
        <f>J17-K17+K20-J20+K25-J25</f>
        <v>0</v>
      </c>
      <c r="J137" s="681">
        <f>J12+2/10000000</f>
        <v>1.9999999999999999E-7</v>
      </c>
      <c r="K137" s="767"/>
      <c r="L137" s="76"/>
      <c r="M137" s="91">
        <f t="shared" si="2"/>
        <v>3</v>
      </c>
      <c r="N137" s="69" t="str">
        <f>N12</f>
        <v>Equipe 11</v>
      </c>
      <c r="O137" s="69">
        <f>P17-Q17+Q20-P20+Q25-P25</f>
        <v>0</v>
      </c>
      <c r="P137" s="681">
        <f>P12+2/10000000</f>
        <v>1.9999999999999999E-7</v>
      </c>
      <c r="Q137" s="767"/>
      <c r="R137" s="105"/>
      <c r="S137" s="86">
        <f t="shared" si="3"/>
        <v>3</v>
      </c>
      <c r="T137" s="69" t="str">
        <f>T12</f>
        <v>Equipe 15</v>
      </c>
      <c r="U137" s="69">
        <f>V17-W17+W20-V20+W25-V25</f>
        <v>0</v>
      </c>
      <c r="V137" s="681">
        <f>V12+2/10000000</f>
        <v>1.9999999999999999E-7</v>
      </c>
      <c r="W137" s="682"/>
    </row>
    <row r="138" spans="1:23" ht="15.75" hidden="1" thickBot="1" x14ac:dyDescent="0.3">
      <c r="A138" s="87">
        <f t="shared" si="0"/>
        <v>4</v>
      </c>
      <c r="B138" s="88" t="str">
        <f>B13</f>
        <v>Equipe 4</v>
      </c>
      <c r="C138" s="88">
        <f>E17-D17+E21-D21+E24-D24</f>
        <v>0</v>
      </c>
      <c r="D138" s="709">
        <f>D13+1/10000000</f>
        <v>9.9999999999999995E-8</v>
      </c>
      <c r="E138" s="761"/>
      <c r="F138" s="775"/>
      <c r="G138" s="92">
        <f t="shared" si="1"/>
        <v>4</v>
      </c>
      <c r="H138" s="88" t="str">
        <f>H13</f>
        <v>Equipe 8</v>
      </c>
      <c r="I138" s="88">
        <f>K17-J17+K21-J21+K24-J24</f>
        <v>0</v>
      </c>
      <c r="J138" s="709">
        <f>J13+1/10000000</f>
        <v>9.9999999999999995E-8</v>
      </c>
      <c r="K138" s="761"/>
      <c r="L138" s="78"/>
      <c r="M138" s="92">
        <f t="shared" si="2"/>
        <v>4</v>
      </c>
      <c r="N138" s="88" t="str">
        <f>N13</f>
        <v>Equipe 12</v>
      </c>
      <c r="O138" s="88">
        <f>Q17-P17+Q21-P21+Q24-P24</f>
        <v>0</v>
      </c>
      <c r="P138" s="709">
        <f>P13+1/10000000</f>
        <v>9.9999999999999995E-8</v>
      </c>
      <c r="Q138" s="761"/>
      <c r="R138" s="123"/>
      <c r="S138" s="87">
        <f t="shared" si="3"/>
        <v>4</v>
      </c>
      <c r="T138" s="88" t="str">
        <f>T13</f>
        <v>Equipe 16</v>
      </c>
      <c r="U138" s="88">
        <f>W17-V17+W21-V21+W24-V24</f>
        <v>0</v>
      </c>
      <c r="V138" s="709">
        <f>V13+1/10000000</f>
        <v>9.9999999999999995E-8</v>
      </c>
      <c r="W138" s="710"/>
    </row>
    <row r="139" spans="1:23" hidden="1" x14ac:dyDescent="0.25">
      <c r="A139" s="700"/>
      <c r="B139" s="700"/>
      <c r="C139" s="700"/>
      <c r="D139" s="700"/>
      <c r="E139" s="700"/>
      <c r="F139" s="700"/>
      <c r="G139" s="700"/>
      <c r="H139" s="700"/>
      <c r="I139" s="700"/>
      <c r="J139" s="700"/>
      <c r="K139" s="700"/>
      <c r="L139" s="700"/>
      <c r="M139" s="700"/>
      <c r="N139" s="700"/>
      <c r="O139" s="700"/>
      <c r="P139" s="700"/>
      <c r="Q139" s="700"/>
    </row>
    <row r="140" spans="1:23" hidden="1" x14ac:dyDescent="0.25">
      <c r="A140" s="1">
        <f>IF(D16="",0,(IF(D16&gt;E16,3,IF(D16=E16,1,0))))</f>
        <v>0</v>
      </c>
      <c r="B140" s="1">
        <f>IF(E16="",0,(IF(E16&gt;D16,3,IF(E16=D16,1,0))))</f>
        <v>0</v>
      </c>
      <c r="G140" s="1">
        <f>IF(J16="",0,(IF(J16&gt;K16,3,IF(J16=K16,1,0))))</f>
        <v>0</v>
      </c>
      <c r="H140" s="1">
        <f>IF(K16="",0,(IF(K16&gt;J16,3,IF(K16=J16,1,0))))</f>
        <v>0</v>
      </c>
      <c r="M140" s="1">
        <f>IF(P16="",0,(IF(P16&gt;Q16,3,IF(P16=Q16,1,0))))</f>
        <v>0</v>
      </c>
      <c r="N140" s="1">
        <f>IF(Q16="",0,(IF(Q16&gt;P16,3,IF(Q16=P16,1,0))))</f>
        <v>0</v>
      </c>
      <c r="S140" s="1">
        <f>IF(V16="",0,(IF(V16&gt;W16,3,IF(V16=W16,1,0))))</f>
        <v>0</v>
      </c>
      <c r="T140" s="1">
        <f>IF(W16="",0,(IF(W16&gt;V16,3,IF(W16=V16,1,0))))</f>
        <v>0</v>
      </c>
    </row>
    <row r="141" spans="1:23" hidden="1" x14ac:dyDescent="0.25">
      <c r="A141" s="1">
        <f>IF(D17="",0,(IF(D17&gt;E17,3,IF(D17=E17,1,0))))</f>
        <v>0</v>
      </c>
      <c r="B141" s="1">
        <f>IF(E17="",0,(IF(E17&gt;D17,3,IF(E17=D17,1,0))))</f>
        <v>0</v>
      </c>
      <c r="G141" s="1">
        <f>IF(J17="",0,(IF(J17&gt;K17,3,IF(J17=K17,1,0))))</f>
        <v>0</v>
      </c>
      <c r="H141" s="1">
        <f>IF(K17="",0,(IF(K17&gt;J17,3,IF(K17=J17,1,0))))</f>
        <v>0</v>
      </c>
      <c r="M141" s="1">
        <f>IF(P17="",0,(IF(P17&gt;Q17,3,IF(P17=Q17,1,0))))</f>
        <v>0</v>
      </c>
      <c r="N141" s="1">
        <f>IF(Q17="",0,(IF(Q17&gt;P17,3,IF(Q17=P17,1,0))))</f>
        <v>0</v>
      </c>
      <c r="S141" s="1">
        <f>IF(V17="",0,(IF(V17&gt;W17,3,IF(V17=W17,1,0))))</f>
        <v>0</v>
      </c>
      <c r="T141" s="1">
        <f>IF(W17="",0,(IF(W17&gt;V17,3,IF(W17=V17,1,0))))</f>
        <v>0</v>
      </c>
    </row>
    <row r="142" spans="1:23" hidden="1" x14ac:dyDescent="0.25"/>
    <row r="143" spans="1:23" hidden="1" x14ac:dyDescent="0.25"/>
    <row r="144" spans="1:23" hidden="1" x14ac:dyDescent="0.25">
      <c r="A144" s="1">
        <f>IF(D20="",0,(IF(D20&gt;E20,3,IF(D20=E20,1,0))))</f>
        <v>0</v>
      </c>
      <c r="B144" s="1">
        <f>IF(E20="",0,(IF(E20&gt;D20,3,IF(E20=D20,1,0))))</f>
        <v>0</v>
      </c>
      <c r="G144" s="1">
        <f>IF(J20="",0,(IF(J20&gt;K20,3,IF(J20=K20,1,0))))</f>
        <v>0</v>
      </c>
      <c r="H144" s="1">
        <f>IF(K20="",0,(IF(K20&gt;J20,3,IF(K20=J20,1,0))))</f>
        <v>0</v>
      </c>
      <c r="M144" s="1">
        <f>IF(P20="",0,(IF(P20&gt;Q20,3,IF(P20=Q20,1,0))))</f>
        <v>0</v>
      </c>
      <c r="N144" s="1">
        <f>IF(Q20="",0,(IF(Q20&gt;P20,3,IF(Q20=P20,1,0))))</f>
        <v>0</v>
      </c>
      <c r="S144" s="1">
        <f>IF(V20="",0,(IF(V20&gt;W20,3,IF(V20=W20,1,0))))</f>
        <v>0</v>
      </c>
      <c r="T144" s="1">
        <f>IF(W20="",0,(IF(W20&gt;V20,3,IF(W20=V20,1,0))))</f>
        <v>0</v>
      </c>
    </row>
    <row r="145" spans="1:23" hidden="1" x14ac:dyDescent="0.25">
      <c r="A145" s="1">
        <f>IF(D21="",0,(IF(D21&gt;E21,3,IF(D21=E21,1,0))))</f>
        <v>0</v>
      </c>
      <c r="B145" s="1">
        <f>IF(E21="",0,(IF(E21&gt;D21,3,IF(E21=D21,1,0))))</f>
        <v>0</v>
      </c>
      <c r="G145" s="1">
        <f>IF(J21="",0,(IF(J21&gt;K21,3,IF(J21=K21,1,0))))</f>
        <v>0</v>
      </c>
      <c r="H145" s="1">
        <f>IF(K21="",0,(IF(K21&gt;J21,3,IF(K21=J21,1,0))))</f>
        <v>0</v>
      </c>
      <c r="M145" s="1">
        <f>IF(P21="",0,(IF(P21&gt;Q21,3,IF(P21=Q21,1,0))))</f>
        <v>0</v>
      </c>
      <c r="N145" s="1">
        <f>IF(Q21="",0,(IF(Q21&gt;P21,3,IF(Q21=P21,1,0))))</f>
        <v>0</v>
      </c>
      <c r="S145" s="1">
        <f>IF(V21="",0,(IF(V21&gt;W21,3,IF(V21=W21,1,0))))</f>
        <v>0</v>
      </c>
      <c r="T145" s="1">
        <f>IF(W21="",0,(IF(W21&gt;V21,3,IF(W21=V21,1,0))))</f>
        <v>0</v>
      </c>
    </row>
    <row r="146" spans="1:23" hidden="1" x14ac:dyDescent="0.25"/>
    <row r="147" spans="1:23" hidden="1" x14ac:dyDescent="0.25"/>
    <row r="148" spans="1:23" hidden="1" x14ac:dyDescent="0.25">
      <c r="A148" s="1">
        <f>IF(D24="",0,(IF(D24&gt;E24,3,IF(D24=E24,1,0))))</f>
        <v>0</v>
      </c>
      <c r="B148" s="1">
        <f>IF(E24="",0,(IF(E24&gt;D24,3,IF(E24=D24,1,0))))</f>
        <v>0</v>
      </c>
      <c r="G148" s="1">
        <f>IF(J24="",0,(IF(J24&gt;K24,3,IF(J24=K24,1,0))))</f>
        <v>0</v>
      </c>
      <c r="H148" s="1">
        <f>IF(K24="",0,(IF(K24&gt;J24,3,IF(K24=J24,1,0))))</f>
        <v>0</v>
      </c>
      <c r="M148" s="1">
        <f>IF(P24="",0,(IF(P24&gt;Q24,3,IF(P24=Q24,1,0))))</f>
        <v>0</v>
      </c>
      <c r="N148" s="1">
        <f>IF(Q24="",0,(IF(Q24&gt;P24,3,IF(Q24=P24,1,0))))</f>
        <v>0</v>
      </c>
      <c r="S148" s="1">
        <f>IF(V24="",0,(IF(V24&gt;W24,3,IF(V24=W24,1,0))))</f>
        <v>0</v>
      </c>
      <c r="T148" s="1">
        <f>IF(W24="",0,(IF(W24&gt;V24,3,IF(W24=V24,1,0))))</f>
        <v>0</v>
      </c>
    </row>
    <row r="149" spans="1:23" hidden="1" x14ac:dyDescent="0.25">
      <c r="A149" s="1">
        <f>IF(D25="",0,(IF(D25&gt;E25,3,IF(D25=E25,1,0))))</f>
        <v>0</v>
      </c>
      <c r="B149" s="1">
        <f>IF(E25="",0,(IF(E25&gt;D25,3,IF(E25=D25,1,0))))</f>
        <v>0</v>
      </c>
      <c r="G149" s="1">
        <f>IF(J25="",0,(IF(J25&gt;K25,3,IF(J25=K25,1,0))))</f>
        <v>0</v>
      </c>
      <c r="H149" s="1">
        <f>IF(K25="",0,(IF(K25&gt;J25,3,IF(K25=J25,1,0))))</f>
        <v>0</v>
      </c>
      <c r="M149" s="1">
        <f>IF(P25="",0,(IF(P25&gt;Q25,3,IF(P25=Q25,1,0))))</f>
        <v>0</v>
      </c>
      <c r="N149" s="1">
        <f>IF(Q25="",0,(IF(Q25&gt;P25,3,IF(Q25=P25,1,0))))</f>
        <v>0</v>
      </c>
      <c r="S149" s="1">
        <f>IF(V25="",0,(IF(V25&gt;W25,3,IF(V25=W25,1,0))))</f>
        <v>0</v>
      </c>
      <c r="T149" s="1">
        <f>IF(W25="",0,(IF(W25&gt;V25,3,IF(W25=V25,1,0))))</f>
        <v>0</v>
      </c>
    </row>
    <row r="150" spans="1:23" hidden="1" x14ac:dyDescent="0.25"/>
    <row r="151" spans="1:23" hidden="1" x14ac:dyDescent="0.25">
      <c r="A151" s="700"/>
      <c r="B151" s="700"/>
      <c r="C151" s="700"/>
      <c r="D151" s="700"/>
      <c r="E151" s="700"/>
      <c r="F151" s="700"/>
      <c r="G151" s="700"/>
      <c r="H151" s="700"/>
      <c r="I151" s="700"/>
      <c r="J151" s="700"/>
      <c r="K151" s="700"/>
      <c r="L151" s="700"/>
      <c r="M151" s="700"/>
      <c r="N151" s="700"/>
      <c r="O151" s="700"/>
      <c r="P151" s="700"/>
      <c r="Q151" s="700"/>
    </row>
    <row r="152" spans="1:23" hidden="1" x14ac:dyDescent="0.25"/>
    <row r="153" spans="1:23" hidden="1" x14ac:dyDescent="0.25"/>
    <row r="154" spans="1:23" hidden="1" x14ac:dyDescent="0.25"/>
    <row r="155" spans="1:23" hidden="1" x14ac:dyDescent="0.25"/>
    <row r="156" spans="1:23" hidden="1" x14ac:dyDescent="0.25"/>
    <row r="157" spans="1:23" hidden="1" x14ac:dyDescent="0.25"/>
    <row r="158" spans="1:23" ht="15.75" hidden="1" thickBot="1" x14ac:dyDescent="0.3"/>
    <row r="159" spans="1:23" ht="16.5" hidden="1" thickBot="1" x14ac:dyDescent="0.3">
      <c r="A159" s="670" t="s">
        <v>49</v>
      </c>
      <c r="B159" s="671"/>
      <c r="C159" s="671"/>
      <c r="D159" s="671"/>
      <c r="E159" s="671"/>
      <c r="F159" s="671"/>
      <c r="G159" s="671"/>
      <c r="H159" s="671"/>
      <c r="I159" s="671"/>
      <c r="J159" s="671"/>
      <c r="K159" s="671"/>
      <c r="L159" s="671"/>
      <c r="M159" s="671"/>
      <c r="N159" s="671"/>
      <c r="O159" s="671"/>
      <c r="P159" s="671"/>
      <c r="Q159" s="671"/>
      <c r="R159" s="671"/>
      <c r="S159" s="671"/>
      <c r="T159" s="671"/>
      <c r="U159" s="671"/>
      <c r="V159" s="671"/>
      <c r="W159" s="672"/>
    </row>
    <row r="160" spans="1:23" hidden="1" x14ac:dyDescent="0.25">
      <c r="A160" s="96"/>
      <c r="B160" s="711" t="s">
        <v>256</v>
      </c>
      <c r="C160" s="711"/>
      <c r="D160" s="711" t="s">
        <v>15</v>
      </c>
      <c r="E160" s="772"/>
      <c r="F160" s="773"/>
      <c r="G160" s="121"/>
      <c r="H160" s="711" t="s">
        <v>257</v>
      </c>
      <c r="I160" s="711"/>
      <c r="J160" s="711" t="s">
        <v>15</v>
      </c>
      <c r="K160" s="772"/>
      <c r="L160" s="75"/>
      <c r="M160" s="121"/>
      <c r="N160" s="711" t="s">
        <v>303</v>
      </c>
      <c r="O160" s="711"/>
      <c r="P160" s="711" t="s">
        <v>15</v>
      </c>
      <c r="Q160" s="772"/>
      <c r="R160" s="122"/>
      <c r="S160" s="96"/>
      <c r="T160" s="711" t="s">
        <v>304</v>
      </c>
      <c r="U160" s="711"/>
      <c r="V160" s="711" t="s">
        <v>15</v>
      </c>
      <c r="W160" s="712"/>
    </row>
    <row r="161" spans="1:23" hidden="1" x14ac:dyDescent="0.25">
      <c r="A161" s="86">
        <f>RANK(D161,$D$161:$E$164)</f>
        <v>1</v>
      </c>
      <c r="B161" s="69" t="str">
        <f>B36</f>
        <v>Equipe 17</v>
      </c>
      <c r="C161" s="69">
        <f>D42-E42+D46-E46+D50-E50</f>
        <v>0</v>
      </c>
      <c r="D161" s="681">
        <f>D36+4/10000000</f>
        <v>3.9999999999999998E-7</v>
      </c>
      <c r="E161" s="767"/>
      <c r="F161" s="774"/>
      <c r="G161" s="91">
        <f>RANK(J161,$J$161:$J$164)</f>
        <v>1</v>
      </c>
      <c r="H161" s="69" t="str">
        <f>H36</f>
        <v>Equipe 21</v>
      </c>
      <c r="I161" s="69">
        <f>J42-K42+J46-K46+J50-K50</f>
        <v>0</v>
      </c>
      <c r="J161" s="681">
        <f>J36+4/10000000</f>
        <v>3.9999999999999998E-7</v>
      </c>
      <c r="K161" s="767"/>
      <c r="L161" s="76"/>
      <c r="M161" s="91">
        <f>RANK(P161,$P$161:$P$164)</f>
        <v>1</v>
      </c>
      <c r="N161" s="69" t="str">
        <f>N36</f>
        <v>Equipe 25</v>
      </c>
      <c r="O161" s="69">
        <f>P42-Q42+P46-Q46+P50-Q50</f>
        <v>0</v>
      </c>
      <c r="P161" s="681">
        <f>P36+4/10000000</f>
        <v>3.9999999999999998E-7</v>
      </c>
      <c r="Q161" s="767"/>
      <c r="R161" s="105"/>
      <c r="S161" s="86">
        <f>RANK(V161,$V$161:$V$164)</f>
        <v>1</v>
      </c>
      <c r="T161" s="69" t="str">
        <f>T36</f>
        <v>Equipe 29</v>
      </c>
      <c r="U161" s="69">
        <f>V42-W42+V46-W46+V50-W50</f>
        <v>0</v>
      </c>
      <c r="V161" s="681">
        <f>V36+4/10000000</f>
        <v>3.9999999999999998E-7</v>
      </c>
      <c r="W161" s="682"/>
    </row>
    <row r="162" spans="1:23" hidden="1" x14ac:dyDescent="0.25">
      <c r="A162" s="86">
        <f t="shared" ref="A162:A164" si="4">RANK(D162,$D$161:$E$164)</f>
        <v>2</v>
      </c>
      <c r="B162" s="69" t="str">
        <f>B37</f>
        <v>Equipe 18</v>
      </c>
      <c r="C162" s="69">
        <f>E42-D42+D47-E47+D51-E51</f>
        <v>0</v>
      </c>
      <c r="D162" s="681">
        <f>D37+3/10000000</f>
        <v>2.9999999999999999E-7</v>
      </c>
      <c r="E162" s="767"/>
      <c r="F162" s="774"/>
      <c r="G162" s="91">
        <f t="shared" ref="G162:G164" si="5">RANK(J162,$J$161:$J$164)</f>
        <v>2</v>
      </c>
      <c r="H162" s="69" t="str">
        <f>H37</f>
        <v>Equipe 22</v>
      </c>
      <c r="I162" s="69">
        <f>K42-J42+J47-K47+J51-K51</f>
        <v>0</v>
      </c>
      <c r="J162" s="681">
        <f>J37+3/10000000</f>
        <v>2.9999999999999999E-7</v>
      </c>
      <c r="K162" s="767"/>
      <c r="L162" s="76"/>
      <c r="M162" s="91">
        <f t="shared" ref="M162:M164" si="6">RANK(P162,$P$161:$P$164)</f>
        <v>2</v>
      </c>
      <c r="N162" s="69" t="str">
        <f>N37</f>
        <v>Equipe 26</v>
      </c>
      <c r="O162" s="69">
        <f>Q42-P42+P47-Q47+P51-Q51</f>
        <v>0</v>
      </c>
      <c r="P162" s="681">
        <f>P37+3/10000000</f>
        <v>2.9999999999999999E-7</v>
      </c>
      <c r="Q162" s="767"/>
      <c r="R162" s="105"/>
      <c r="S162" s="86">
        <f t="shared" ref="S162:S164" si="7">RANK(V162,$V$161:$V$164)</f>
        <v>2</v>
      </c>
      <c r="T162" s="69" t="str">
        <f>T37</f>
        <v>Equipe 30</v>
      </c>
      <c r="U162" s="69">
        <f>W42-V42+V47-W47+V51-W51</f>
        <v>0</v>
      </c>
      <c r="V162" s="681">
        <f>V37+3/10000000</f>
        <v>2.9999999999999999E-7</v>
      </c>
      <c r="W162" s="682"/>
    </row>
    <row r="163" spans="1:23" hidden="1" x14ac:dyDescent="0.25">
      <c r="A163" s="86">
        <f t="shared" si="4"/>
        <v>3</v>
      </c>
      <c r="B163" s="69" t="str">
        <f>B38</f>
        <v>Equipe 19</v>
      </c>
      <c r="C163" s="69">
        <f>D43-E43+E46-D46+E51-D51</f>
        <v>0</v>
      </c>
      <c r="D163" s="681">
        <f>D38+2/10000000</f>
        <v>1.9999999999999999E-7</v>
      </c>
      <c r="E163" s="767"/>
      <c r="F163" s="774"/>
      <c r="G163" s="91">
        <f t="shared" si="5"/>
        <v>3</v>
      </c>
      <c r="H163" s="69" t="str">
        <f>H38</f>
        <v>Equipe 23</v>
      </c>
      <c r="I163" s="69">
        <f>J43-K43+K46-J46+K51-J51</f>
        <v>0</v>
      </c>
      <c r="J163" s="681">
        <f>J38+2/10000000</f>
        <v>1.9999999999999999E-7</v>
      </c>
      <c r="K163" s="767"/>
      <c r="L163" s="76"/>
      <c r="M163" s="91">
        <f t="shared" si="6"/>
        <v>3</v>
      </c>
      <c r="N163" s="69" t="str">
        <f>N38</f>
        <v>Equipe 27</v>
      </c>
      <c r="O163" s="69">
        <f>P43-Q43+Q46-P46+Q51-P51</f>
        <v>0</v>
      </c>
      <c r="P163" s="681">
        <f>P38+2/10000000</f>
        <v>1.9999999999999999E-7</v>
      </c>
      <c r="Q163" s="767"/>
      <c r="R163" s="105"/>
      <c r="S163" s="86">
        <f t="shared" si="7"/>
        <v>3</v>
      </c>
      <c r="T163" s="69" t="str">
        <f>T38</f>
        <v>Equipe 31</v>
      </c>
      <c r="U163" s="69">
        <f>V43-W43+W46-V46+W51-V51</f>
        <v>0</v>
      </c>
      <c r="V163" s="681">
        <f>V38+2/10000000</f>
        <v>1.9999999999999999E-7</v>
      </c>
      <c r="W163" s="682"/>
    </row>
    <row r="164" spans="1:23" ht="15.75" hidden="1" thickBot="1" x14ac:dyDescent="0.3">
      <c r="A164" s="86">
        <f t="shared" si="4"/>
        <v>4</v>
      </c>
      <c r="B164" s="88" t="str">
        <f>B39</f>
        <v>Equipe 20</v>
      </c>
      <c r="C164" s="88">
        <f>E43-D43+E47-D47+E50-D50</f>
        <v>0</v>
      </c>
      <c r="D164" s="709">
        <f>D39+1/10000000</f>
        <v>9.9999999999999995E-8</v>
      </c>
      <c r="E164" s="761"/>
      <c r="F164" s="775"/>
      <c r="G164" s="91">
        <f t="shared" si="5"/>
        <v>4</v>
      </c>
      <c r="H164" s="88" t="str">
        <f>H39</f>
        <v>Equipe 24</v>
      </c>
      <c r="I164" s="88">
        <f>K43-J43+K47-J47+K50-J50</f>
        <v>0</v>
      </c>
      <c r="J164" s="709">
        <f>J39+1/10000000</f>
        <v>9.9999999999999995E-8</v>
      </c>
      <c r="K164" s="761"/>
      <c r="L164" s="78"/>
      <c r="M164" s="91">
        <f t="shared" si="6"/>
        <v>4</v>
      </c>
      <c r="N164" s="88" t="str">
        <f>N39</f>
        <v>Equipe 28</v>
      </c>
      <c r="O164" s="88">
        <f>Q43-P43+Q47-P47+Q50-P50</f>
        <v>0</v>
      </c>
      <c r="P164" s="709">
        <f>P39+1/10000000</f>
        <v>9.9999999999999995E-8</v>
      </c>
      <c r="Q164" s="761"/>
      <c r="R164" s="123"/>
      <c r="S164" s="86">
        <f t="shared" si="7"/>
        <v>4</v>
      </c>
      <c r="T164" s="88" t="str">
        <f>T39</f>
        <v>Equipe 32</v>
      </c>
      <c r="U164" s="88">
        <f>W43-V43+W47-V47+W50-V50</f>
        <v>0</v>
      </c>
      <c r="V164" s="709">
        <f>V39+1/10000000</f>
        <v>9.9999999999999995E-8</v>
      </c>
      <c r="W164" s="710"/>
    </row>
    <row r="165" spans="1:23" hidden="1" x14ac:dyDescent="0.25">
      <c r="A165" s="700"/>
      <c r="B165" s="700"/>
      <c r="C165" s="700"/>
      <c r="D165" s="700"/>
      <c r="E165" s="700"/>
      <c r="F165" s="700"/>
      <c r="G165" s="700"/>
      <c r="H165" s="700"/>
      <c r="I165" s="700"/>
      <c r="J165" s="700"/>
      <c r="K165" s="700"/>
      <c r="L165" s="700"/>
      <c r="M165" s="700"/>
      <c r="N165" s="700"/>
      <c r="O165" s="700"/>
      <c r="P165" s="700"/>
      <c r="Q165" s="700"/>
    </row>
    <row r="166" spans="1:23" hidden="1" x14ac:dyDescent="0.25">
      <c r="A166" s="1">
        <f>IF(D42="",0,(IF(D42&gt;E42,3,IF(D42=E42,1,0))))</f>
        <v>0</v>
      </c>
      <c r="B166" s="1">
        <f>IF(E42="",0,(IF(E42&gt;D42,3,IF(E42=D42,1,0))))</f>
        <v>0</v>
      </c>
      <c r="G166" s="1">
        <f>IF(J42="",0,(IF(J42&gt;K42,3,IF(J42=K42,1,0))))</f>
        <v>0</v>
      </c>
      <c r="H166" s="1">
        <f>IF(K42="",0,(IF(K42&gt;J42,3,IF(K42=J42,1,0))))</f>
        <v>0</v>
      </c>
      <c r="M166" s="1">
        <f>IF(P42="",0,(IF(P42&gt;Q42,3,IF(P42=Q42,1,0))))</f>
        <v>0</v>
      </c>
      <c r="N166" s="1">
        <f>IF(Q42="",0,(IF(Q42&gt;P42,3,IF(Q42=P42,1,0))))</f>
        <v>0</v>
      </c>
      <c r="S166" s="1">
        <f>IF(V42="",0,(IF(V42&gt;W42,3,IF(V42=W42,1,0))))</f>
        <v>0</v>
      </c>
      <c r="T166" s="1">
        <f>IF(W42="",0,(IF(W42&gt;V42,3,IF(W42=V42,1,0))))</f>
        <v>0</v>
      </c>
    </row>
    <row r="167" spans="1:23" hidden="1" x14ac:dyDescent="0.25">
      <c r="A167" s="1">
        <f>IF(D43="",0,(IF(D43&gt;E43,3,IF(D43=E43,1,0))))</f>
        <v>0</v>
      </c>
      <c r="B167" s="1">
        <f>IF(E43="",0,(IF(E43&gt;D43,3,IF(E43=D43,1,0))))</f>
        <v>0</v>
      </c>
      <c r="G167" s="1">
        <f>IF(J43="",0,(IF(J43&gt;K43,3,IF(J43=K43,1,0))))</f>
        <v>0</v>
      </c>
      <c r="H167" s="1">
        <f>IF(K43="",0,(IF(K43&gt;J43,3,IF(K43=J43,1,0))))</f>
        <v>0</v>
      </c>
      <c r="M167" s="1">
        <f>IF(P43="",0,(IF(P43&gt;Q43,3,IF(P43=Q43,1,0))))</f>
        <v>0</v>
      </c>
      <c r="N167" s="1">
        <f>IF(Q43="",0,(IF(Q43&gt;P43,3,IF(Q43=P43,1,0))))</f>
        <v>0</v>
      </c>
      <c r="S167" s="1">
        <f>IF(V43="",0,(IF(V43&gt;W43,3,IF(V43=W43,1,0))))</f>
        <v>0</v>
      </c>
      <c r="T167" s="1">
        <f>IF(W43="",0,(IF(W43&gt;V43,3,IF(W43=V43,1,0))))</f>
        <v>0</v>
      </c>
    </row>
    <row r="168" spans="1:23" hidden="1" x14ac:dyDescent="0.25"/>
    <row r="169" spans="1:23" hidden="1" x14ac:dyDescent="0.25"/>
    <row r="170" spans="1:23" hidden="1" x14ac:dyDescent="0.25">
      <c r="A170" s="1">
        <f>IF(D46="",0,(IF(D46&gt;E46,3,IF(D46=E46,1,0))))</f>
        <v>0</v>
      </c>
      <c r="B170" s="1">
        <f>IF(E46="",0,(IF(E46&gt;D46,3,IF(E46=D46,1,0))))</f>
        <v>0</v>
      </c>
      <c r="G170" s="1">
        <f>IF(J46="",0,(IF(J46&gt;K46,3,IF(J46=K46,1,0))))</f>
        <v>0</v>
      </c>
      <c r="H170" s="1">
        <f>IF(K46="",0,(IF(K46&gt;J46,3,IF(K46=J46,1,0))))</f>
        <v>0</v>
      </c>
      <c r="M170" s="1">
        <f>IF(P46="",0,(IF(P46&gt;Q46,3,IF(P46=Q46,1,0))))</f>
        <v>0</v>
      </c>
      <c r="N170" s="1">
        <f>IF(Q46="",0,(IF(Q46&gt;P46,3,IF(Q46=P46,1,0))))</f>
        <v>0</v>
      </c>
      <c r="S170" s="1">
        <f>IF(V46="",0,(IF(V46&gt;W46,3,IF(V46=W46,1,0))))</f>
        <v>0</v>
      </c>
      <c r="T170" s="1">
        <f>IF(W46="",0,(IF(W46&gt;V46,3,IF(W46=V46,1,0))))</f>
        <v>0</v>
      </c>
    </row>
    <row r="171" spans="1:23" hidden="1" x14ac:dyDescent="0.25">
      <c r="A171" s="1">
        <f>IF(D47="",0,(IF(D47&gt;E47,3,IF(D47=E47,1,0))))</f>
        <v>0</v>
      </c>
      <c r="B171" s="1">
        <f>IF(E47="",0,(IF(E47&gt;D47,3,IF(E47=D47,1,0))))</f>
        <v>0</v>
      </c>
      <c r="G171" s="1">
        <f>IF(J47="",0,(IF(J47&gt;K47,3,IF(J47=K47,1,0))))</f>
        <v>0</v>
      </c>
      <c r="H171" s="1">
        <f>IF(K47="",0,(IF(K47&gt;J47,3,IF(K47=J47,1,0))))</f>
        <v>0</v>
      </c>
      <c r="M171" s="1">
        <f>IF(P47="",0,(IF(P47&gt;Q47,3,IF(P47=Q47,1,0))))</f>
        <v>0</v>
      </c>
      <c r="N171" s="1">
        <f>IF(Q47="",0,(IF(Q47&gt;P47,3,IF(Q47=P47,1,0))))</f>
        <v>0</v>
      </c>
      <c r="S171" s="1">
        <f>IF(V47="",0,(IF(V47&gt;W47,3,IF(V47=W47,1,0))))</f>
        <v>0</v>
      </c>
      <c r="T171" s="1">
        <f>IF(W47="",0,(IF(W47&gt;V47,3,IF(W47=V47,1,0))))</f>
        <v>0</v>
      </c>
    </row>
    <row r="172" spans="1:23" hidden="1" x14ac:dyDescent="0.25"/>
    <row r="173" spans="1:23" hidden="1" x14ac:dyDescent="0.25"/>
    <row r="174" spans="1:23" hidden="1" x14ac:dyDescent="0.25">
      <c r="A174" s="1">
        <f>IF(D50="",0,(IF(D50&gt;E50,3,IF(D50=E50,1,0))))</f>
        <v>0</v>
      </c>
      <c r="B174" s="1">
        <f>IF(E50="",0,(IF(E50&gt;D50,3,IF(E50=D50,1,0))))</f>
        <v>0</v>
      </c>
      <c r="G174" s="1">
        <f>IF(J50="",0,(IF(J50&gt;K50,3,IF(J50=K50,1,0))))</f>
        <v>0</v>
      </c>
      <c r="H174" s="1">
        <f>IF(K50="",0,(IF(K50&gt;J50,3,IF(K50=J50,1,0))))</f>
        <v>0</v>
      </c>
      <c r="M174" s="1">
        <f>IF(P50="",0,(IF(P50&gt;Q50,3,IF(P50=Q50,1,0))))</f>
        <v>0</v>
      </c>
      <c r="N174" s="1">
        <f>IF(Q50="",0,(IF(Q50&gt;P50,3,IF(Q50=P50,1,0))))</f>
        <v>0</v>
      </c>
      <c r="S174" s="1">
        <f>IF(V50="",0,(IF(V50&gt;W50,3,IF(V50=W50,1,0))))</f>
        <v>0</v>
      </c>
      <c r="T174" s="1">
        <f>IF(W50="",0,(IF(W50&gt;V50,3,IF(W50=V50,1,0))))</f>
        <v>0</v>
      </c>
    </row>
    <row r="175" spans="1:23" hidden="1" x14ac:dyDescent="0.25">
      <c r="A175" s="1">
        <f>IF(D51="",0,(IF(D51&gt;E51,3,IF(D51=E51,1,0))))</f>
        <v>0</v>
      </c>
      <c r="B175" s="1">
        <f>IF(E51="",0,(IF(E51&gt;D51,3,IF(E51=D51,1,0))))</f>
        <v>0</v>
      </c>
      <c r="G175" s="1">
        <f>IF(J51="",0,(IF(J51&gt;K51,3,IF(J51=K51,1,0))))</f>
        <v>0</v>
      </c>
      <c r="H175" s="1">
        <f>IF(K51="",0,(IF(K51&gt;J51,3,IF(K51=J51,1,0))))</f>
        <v>0</v>
      </c>
      <c r="M175" s="1">
        <f>IF(P51="",0,(IF(P51&gt;Q51,3,IF(P51=Q51,1,0))))</f>
        <v>0</v>
      </c>
      <c r="N175" s="1">
        <f>IF(Q51="",0,(IF(Q51&gt;P51,3,IF(Q51=P51,1,0))))</f>
        <v>0</v>
      </c>
      <c r="S175" s="1">
        <f>IF(V51="",0,(IF(V51&gt;W51,3,IF(V51=W51,1,0))))</f>
        <v>0</v>
      </c>
      <c r="T175" s="1">
        <f>IF(W51="",0,(IF(W51&gt;V51,3,IF(W51=V51,1,0))))</f>
        <v>0</v>
      </c>
    </row>
    <row r="176" spans="1:23" hidden="1" x14ac:dyDescent="0.25"/>
    <row r="177" spans="1:23" hidden="1" x14ac:dyDescent="0.25"/>
    <row r="178" spans="1:23" hidden="1" x14ac:dyDescent="0.25"/>
    <row r="179" spans="1:23" hidden="1" x14ac:dyDescent="0.25"/>
    <row r="180" spans="1:23" hidden="1" x14ac:dyDescent="0.25"/>
    <row r="181" spans="1:23" hidden="1" x14ac:dyDescent="0.25"/>
    <row r="182" spans="1:23" hidden="1" x14ac:dyDescent="0.25"/>
    <row r="183" spans="1:23" hidden="1" x14ac:dyDescent="0.25"/>
    <row r="184" spans="1:23" hidden="1" x14ac:dyDescent="0.25"/>
    <row r="185" spans="1:23" hidden="1" x14ac:dyDescent="0.25"/>
    <row r="186" spans="1:23" hidden="1" x14ac:dyDescent="0.25"/>
    <row r="187" spans="1:23" ht="15.75" hidden="1" thickBot="1" x14ac:dyDescent="0.3"/>
    <row r="188" spans="1:23" ht="16.5" hidden="1" thickBot="1" x14ac:dyDescent="0.3">
      <c r="A188" s="670" t="s">
        <v>305</v>
      </c>
      <c r="B188" s="671"/>
      <c r="C188" s="671"/>
      <c r="D188" s="671"/>
      <c r="E188" s="671"/>
      <c r="F188" s="671"/>
      <c r="G188" s="671"/>
      <c r="H188" s="671"/>
      <c r="I188" s="671"/>
      <c r="J188" s="671"/>
      <c r="K188" s="671"/>
      <c r="L188" s="671"/>
      <c r="M188" s="671"/>
      <c r="N188" s="671"/>
      <c r="O188" s="671"/>
      <c r="P188" s="671"/>
      <c r="Q188" s="671"/>
      <c r="R188" s="671"/>
      <c r="S188" s="671"/>
      <c r="T188" s="671"/>
      <c r="U188" s="671"/>
      <c r="V188" s="671"/>
      <c r="W188" s="672"/>
    </row>
    <row r="189" spans="1:23" hidden="1" x14ac:dyDescent="0.25">
      <c r="A189" s="96"/>
      <c r="B189" s="711" t="s">
        <v>1</v>
      </c>
      <c r="C189" s="711"/>
      <c r="D189" s="711" t="s">
        <v>15</v>
      </c>
      <c r="E189" s="772"/>
      <c r="F189" s="773"/>
      <c r="G189" s="121"/>
      <c r="H189" s="711" t="s">
        <v>2</v>
      </c>
      <c r="I189" s="711"/>
      <c r="J189" s="711" t="s">
        <v>15</v>
      </c>
      <c r="K189" s="772"/>
      <c r="L189" s="75"/>
      <c r="M189" s="121"/>
      <c r="N189" s="711" t="s">
        <v>3</v>
      </c>
      <c r="O189" s="711"/>
      <c r="P189" s="711" t="s">
        <v>15</v>
      </c>
      <c r="Q189" s="772"/>
      <c r="R189" s="122"/>
      <c r="S189" s="96"/>
      <c r="T189" s="711" t="s">
        <v>4</v>
      </c>
      <c r="U189" s="711"/>
      <c r="V189" s="711" t="s">
        <v>15</v>
      </c>
      <c r="W189" s="712"/>
    </row>
    <row r="190" spans="1:23" hidden="1" x14ac:dyDescent="0.25">
      <c r="A190" s="86">
        <f>RANK(D190,$D$190:$E$193)</f>
        <v>1</v>
      </c>
      <c r="B190" s="69" t="str">
        <f>B65</f>
        <v>4eme A</v>
      </c>
      <c r="C190" s="69">
        <f>D71-E71+D75-E75+D79-E79</f>
        <v>0</v>
      </c>
      <c r="D190" s="681">
        <f>D65+4/10000000</f>
        <v>3.9999999999999998E-7</v>
      </c>
      <c r="E190" s="767"/>
      <c r="F190" s="774"/>
      <c r="G190" s="91">
        <f>RANK(J190,$J$190:$J$193)</f>
        <v>1</v>
      </c>
      <c r="H190" s="69" t="str">
        <f>H65</f>
        <v>4eme E</v>
      </c>
      <c r="I190" s="69">
        <f>J71-K71+J75-K75+J79-K79</f>
        <v>0</v>
      </c>
      <c r="J190" s="681">
        <f>J65+4/10000000</f>
        <v>3.9999999999999998E-7</v>
      </c>
      <c r="K190" s="767"/>
      <c r="L190" s="76"/>
      <c r="M190" s="91">
        <f>RANK(P190,$P$190:$P$193)</f>
        <v>1</v>
      </c>
      <c r="N190" s="69" t="str">
        <f>N65</f>
        <v>3eme A</v>
      </c>
      <c r="O190" s="69">
        <f>P71-Q71+P75-Q75+P79-Q79</f>
        <v>0</v>
      </c>
      <c r="P190" s="681">
        <f>P65+4/10000000</f>
        <v>3.9999999999999998E-7</v>
      </c>
      <c r="Q190" s="767"/>
      <c r="R190" s="105"/>
      <c r="S190" s="86">
        <f>RANK(V190,$V$190:$V$193)</f>
        <v>1</v>
      </c>
      <c r="T190" s="69" t="str">
        <f>T65</f>
        <v>3eme E</v>
      </c>
      <c r="U190" s="69">
        <f>V71-W71+V75-W75+V79-W79</f>
        <v>0</v>
      </c>
      <c r="V190" s="681">
        <f>V65+4/10000000</f>
        <v>3.9999999999999998E-7</v>
      </c>
      <c r="W190" s="682"/>
    </row>
    <row r="191" spans="1:23" hidden="1" x14ac:dyDescent="0.25">
      <c r="A191" s="86">
        <f t="shared" ref="A191:A193" si="8">RANK(D191,$D$190:$E$193)</f>
        <v>2</v>
      </c>
      <c r="B191" s="69" t="str">
        <f>B66</f>
        <v>4eme B</v>
      </c>
      <c r="C191" s="69">
        <f>E71-D71+D76-E76+D80-E80</f>
        <v>0</v>
      </c>
      <c r="D191" s="681">
        <f>D66+3/10000000</f>
        <v>2.9999999999999999E-7</v>
      </c>
      <c r="E191" s="767"/>
      <c r="F191" s="774"/>
      <c r="G191" s="91">
        <f t="shared" ref="G191:G193" si="9">RANK(J191,$J$190:$J$193)</f>
        <v>2</v>
      </c>
      <c r="H191" s="69" t="str">
        <f>H66</f>
        <v>4eme F</v>
      </c>
      <c r="I191" s="69">
        <f>K71-J71+J76-K76+J80-K80</f>
        <v>0</v>
      </c>
      <c r="J191" s="681">
        <f>J66+3/10000000</f>
        <v>2.9999999999999999E-7</v>
      </c>
      <c r="K191" s="767"/>
      <c r="L191" s="76"/>
      <c r="M191" s="91">
        <f t="shared" ref="M191:M193" si="10">RANK(P191,$P$190:$P$193)</f>
        <v>2</v>
      </c>
      <c r="N191" s="69" t="str">
        <f>N66</f>
        <v>3eme B</v>
      </c>
      <c r="O191" s="69">
        <f>Q71-P71+P76-Q76+P80-Q80</f>
        <v>0</v>
      </c>
      <c r="P191" s="681">
        <f>P66+3/10000000</f>
        <v>2.9999999999999999E-7</v>
      </c>
      <c r="Q191" s="767"/>
      <c r="R191" s="105"/>
      <c r="S191" s="86">
        <f t="shared" ref="S191:S193" si="11">RANK(V191,$V$190:$V$193)</f>
        <v>2</v>
      </c>
      <c r="T191" s="69" t="str">
        <f>T66</f>
        <v>3eme F</v>
      </c>
      <c r="U191" s="69">
        <f>W71-V71+V76-W76+V80-W80</f>
        <v>0</v>
      </c>
      <c r="V191" s="681">
        <f>V66+3/10000000</f>
        <v>2.9999999999999999E-7</v>
      </c>
      <c r="W191" s="682"/>
    </row>
    <row r="192" spans="1:23" hidden="1" x14ac:dyDescent="0.25">
      <c r="A192" s="86">
        <f t="shared" si="8"/>
        <v>3</v>
      </c>
      <c r="B192" s="69" t="str">
        <f>B67</f>
        <v>4eme C</v>
      </c>
      <c r="C192" s="69">
        <f>D72-E72+E75-D75+E80-D80</f>
        <v>0</v>
      </c>
      <c r="D192" s="681">
        <f>D67+2/10000000</f>
        <v>1.9999999999999999E-7</v>
      </c>
      <c r="E192" s="767"/>
      <c r="F192" s="774"/>
      <c r="G192" s="91">
        <f t="shared" si="9"/>
        <v>3</v>
      </c>
      <c r="H192" s="69" t="str">
        <f>H67</f>
        <v>4eme G</v>
      </c>
      <c r="I192" s="69">
        <f>J72-K72+K75-J75+K80-J80</f>
        <v>0</v>
      </c>
      <c r="J192" s="681">
        <f>J67+2/10000000</f>
        <v>1.9999999999999999E-7</v>
      </c>
      <c r="K192" s="767"/>
      <c r="L192" s="76"/>
      <c r="M192" s="91">
        <f t="shared" si="10"/>
        <v>3</v>
      </c>
      <c r="N192" s="69" t="str">
        <f>N67</f>
        <v>3eme C</v>
      </c>
      <c r="O192" s="69">
        <f>P72-Q72+Q75-P75+Q80-P80</f>
        <v>0</v>
      </c>
      <c r="P192" s="681">
        <f>P67+2/10000000</f>
        <v>1.9999999999999999E-7</v>
      </c>
      <c r="Q192" s="767"/>
      <c r="R192" s="105"/>
      <c r="S192" s="86">
        <f t="shared" si="11"/>
        <v>3</v>
      </c>
      <c r="T192" s="69" t="str">
        <f>T67</f>
        <v>3eme G</v>
      </c>
      <c r="U192" s="69">
        <f>V72-W72+W75-V75+W80-V80</f>
        <v>0</v>
      </c>
      <c r="V192" s="681">
        <f>V67+2/10000000</f>
        <v>1.9999999999999999E-7</v>
      </c>
      <c r="W192" s="682"/>
    </row>
    <row r="193" spans="1:23" ht="15.75" hidden="1" thickBot="1" x14ac:dyDescent="0.3">
      <c r="A193" s="87">
        <f t="shared" si="8"/>
        <v>4</v>
      </c>
      <c r="B193" s="88" t="str">
        <f>B68</f>
        <v>4eme D</v>
      </c>
      <c r="C193" s="88">
        <f>E72-D72+E76-D76+E79-D79</f>
        <v>0</v>
      </c>
      <c r="D193" s="709">
        <f>D68+1/10000000</f>
        <v>9.9999999999999995E-8</v>
      </c>
      <c r="E193" s="761"/>
      <c r="F193" s="775"/>
      <c r="G193" s="92">
        <f t="shared" si="9"/>
        <v>4</v>
      </c>
      <c r="H193" s="88" t="str">
        <f>H68</f>
        <v>4eme H</v>
      </c>
      <c r="I193" s="88">
        <f>K72-J72+K76-J76+K79-J79</f>
        <v>0</v>
      </c>
      <c r="J193" s="709">
        <f>J68+1/10000000</f>
        <v>9.9999999999999995E-8</v>
      </c>
      <c r="K193" s="761"/>
      <c r="L193" s="78"/>
      <c r="M193" s="92">
        <f t="shared" si="10"/>
        <v>4</v>
      </c>
      <c r="N193" s="88" t="str">
        <f>N68</f>
        <v>3eme D</v>
      </c>
      <c r="O193" s="88">
        <f>Q72-P72+Q76-P76+Q79-P79</f>
        <v>0</v>
      </c>
      <c r="P193" s="709">
        <f>P68+1/10000000</f>
        <v>9.9999999999999995E-8</v>
      </c>
      <c r="Q193" s="761"/>
      <c r="R193" s="123"/>
      <c r="S193" s="87">
        <f t="shared" si="11"/>
        <v>4</v>
      </c>
      <c r="T193" s="88" t="str">
        <f>T68</f>
        <v>3eme H</v>
      </c>
      <c r="U193" s="88">
        <f>W72-V72+W76-V76+W79-V79</f>
        <v>0</v>
      </c>
      <c r="V193" s="709">
        <f>V68+1/10000000</f>
        <v>9.9999999999999995E-8</v>
      </c>
      <c r="W193" s="710"/>
    </row>
    <row r="194" spans="1:23" hidden="1" x14ac:dyDescent="0.25">
      <c r="A194" s="700"/>
      <c r="B194" s="700"/>
      <c r="C194" s="700"/>
      <c r="D194" s="700"/>
      <c r="E194" s="700"/>
      <c r="F194" s="700"/>
      <c r="G194" s="700"/>
      <c r="H194" s="700"/>
      <c r="I194" s="700"/>
      <c r="J194" s="700"/>
      <c r="K194" s="700"/>
      <c r="L194" s="700"/>
      <c r="M194" s="700"/>
      <c r="N194" s="700"/>
      <c r="O194" s="700"/>
      <c r="P194" s="700"/>
      <c r="Q194" s="700"/>
    </row>
    <row r="195" spans="1:23" hidden="1" x14ac:dyDescent="0.25">
      <c r="A195" s="1">
        <f>IF(D71="",0,(IF(D71&gt;E71,3,IF(D71=E71,1,0))))</f>
        <v>0</v>
      </c>
      <c r="B195" s="1">
        <f>IF(E71="",0,(IF(E71&gt;D71,3,IF(E71=D71,1,0))))</f>
        <v>0</v>
      </c>
      <c r="G195" s="1">
        <f>IF(J71="",0,(IF(J71&gt;K71,3,IF(J71=K71,1,0))))</f>
        <v>0</v>
      </c>
      <c r="H195" s="1">
        <f>IF(K71="",0,(IF(K71&gt;J71,3,IF(K71=J71,1,0))))</f>
        <v>0</v>
      </c>
      <c r="M195" s="1">
        <f>IF(P71="",0,(IF(P71&gt;Q71,3,IF(P71=Q71,1,0))))</f>
        <v>0</v>
      </c>
      <c r="N195" s="1">
        <f>IF(Q71="",0,(IF(Q71&gt;P71,3,IF(Q71=P71,1,0))))</f>
        <v>0</v>
      </c>
      <c r="S195" s="1">
        <f>IF(V71="",0,(IF(V71&gt;W71,3,IF(V71=W71,1,0))))</f>
        <v>0</v>
      </c>
      <c r="T195" s="1">
        <f>IF(W71="",0,(IF(W71&gt;V71,3,IF(W71=V71,1,0))))</f>
        <v>0</v>
      </c>
    </row>
    <row r="196" spans="1:23" hidden="1" x14ac:dyDescent="0.25">
      <c r="A196" s="1">
        <f>IF(D72="",0,(IF(D72&gt;E72,3,IF(D72=E72,1,0))))</f>
        <v>0</v>
      </c>
      <c r="B196" s="1">
        <f>IF(E72="",0,(IF(E72&gt;D72,3,IF(E72=D72,1,0))))</f>
        <v>0</v>
      </c>
      <c r="G196" s="1">
        <f>IF(J72="",0,(IF(J72&gt;K72,3,IF(J72=K72,1,0))))</f>
        <v>0</v>
      </c>
      <c r="H196" s="1">
        <f>IF(K72="",0,(IF(K72&gt;J72,3,IF(K72=J72,1,0))))</f>
        <v>0</v>
      </c>
      <c r="M196" s="1">
        <f>IF(P72="",0,(IF(P72&gt;Q72,3,IF(P72=Q72,1,0))))</f>
        <v>0</v>
      </c>
      <c r="N196" s="1">
        <f>IF(Q72="",0,(IF(Q72&gt;P72,3,IF(Q72=P72,1,0))))</f>
        <v>0</v>
      </c>
      <c r="S196" s="1">
        <f>IF(V72="",0,(IF(V72&gt;W72,3,IF(V72=W72,1,0))))</f>
        <v>0</v>
      </c>
      <c r="T196" s="1">
        <f>IF(W72="",0,(IF(W72&gt;V72,3,IF(W72=V72,1,0))))</f>
        <v>0</v>
      </c>
    </row>
    <row r="197" spans="1:23" hidden="1" x14ac:dyDescent="0.25"/>
    <row r="198" spans="1:23" hidden="1" x14ac:dyDescent="0.25"/>
    <row r="199" spans="1:23" hidden="1" x14ac:dyDescent="0.25">
      <c r="A199" s="1">
        <f>IF(D75="",0,(IF(D75&gt;E75,3,IF(D75=E75,1,0))))</f>
        <v>0</v>
      </c>
      <c r="B199" s="1">
        <f>IF(E75="",0,(IF(E75&gt;D75,3,IF(E75=D75,1,0))))</f>
        <v>0</v>
      </c>
      <c r="G199" s="1">
        <f>IF(J75="",0,(IF(J75&gt;K75,3,IF(J75=K75,1,0))))</f>
        <v>0</v>
      </c>
      <c r="H199" s="1">
        <f>IF(K75="",0,(IF(K75&gt;J75,3,IF(K75=J75,1,0))))</f>
        <v>0</v>
      </c>
      <c r="M199" s="1">
        <f>IF(P75="",0,(IF(P75&gt;Q75,3,IF(P75=Q75,1,0))))</f>
        <v>0</v>
      </c>
      <c r="N199" s="1">
        <f>IF(Q75="",0,(IF(Q75&gt;P75,3,IF(Q75=P75,1,0))))</f>
        <v>0</v>
      </c>
      <c r="S199" s="1">
        <f>IF(V75="",0,(IF(V75&gt;W75,3,IF(V75=W75,1,0))))</f>
        <v>0</v>
      </c>
      <c r="T199" s="1">
        <f>IF(W75="",0,(IF(W75&gt;V75,3,IF(W75=V75,1,0))))</f>
        <v>0</v>
      </c>
    </row>
    <row r="200" spans="1:23" hidden="1" x14ac:dyDescent="0.25">
      <c r="A200" s="1">
        <f>IF(D76="",0,(IF(D76&gt;E76,3,IF(D76=E76,1,0))))</f>
        <v>0</v>
      </c>
      <c r="B200" s="1">
        <f>IF(E76="",0,(IF(E76&gt;D76,3,IF(E76=D76,1,0))))</f>
        <v>0</v>
      </c>
      <c r="G200" s="1">
        <f>IF(J76="",0,(IF(J76&gt;K76,3,IF(J76=K76,1,0))))</f>
        <v>0</v>
      </c>
      <c r="H200" s="1">
        <f>IF(K76="",0,(IF(K76&gt;J76,3,IF(K76=J76,1,0))))</f>
        <v>0</v>
      </c>
      <c r="M200" s="1">
        <f>IF(P76="",0,(IF(P76&gt;Q76,3,IF(P76=Q76,1,0))))</f>
        <v>0</v>
      </c>
      <c r="N200" s="1">
        <f>IF(Q76="",0,(IF(Q76&gt;P76,3,IF(Q76=P76,1,0))))</f>
        <v>0</v>
      </c>
      <c r="S200" s="1">
        <f>IF(V76="",0,(IF(V76&gt;W76,3,IF(V76=W76,1,0))))</f>
        <v>0</v>
      </c>
      <c r="T200" s="1">
        <f>IF(W76="",0,(IF(W76&gt;V76,3,IF(W76=V76,1,0))))</f>
        <v>0</v>
      </c>
    </row>
    <row r="201" spans="1:23" hidden="1" x14ac:dyDescent="0.25"/>
    <row r="202" spans="1:23" hidden="1" x14ac:dyDescent="0.25"/>
    <row r="203" spans="1:23" hidden="1" x14ac:dyDescent="0.25">
      <c r="A203" s="1">
        <f>IF(D79="",0,(IF(D79&gt;E79,3,IF(D79=E79,1,0))))</f>
        <v>0</v>
      </c>
      <c r="B203" s="1">
        <f>IF(E79="",0,(IF(E79&gt;D79,3,IF(E79=D79,1,0))))</f>
        <v>0</v>
      </c>
      <c r="G203" s="1">
        <f>IF(J79="",0,(IF(J79&gt;K79,3,IF(J79=K79,1,0))))</f>
        <v>0</v>
      </c>
      <c r="H203" s="1">
        <f>IF(K79="",0,(IF(K79&gt;J79,3,IF(K79=J79,1,0))))</f>
        <v>0</v>
      </c>
      <c r="M203" s="1">
        <f>IF(P79="",0,(IF(P79&gt;Q79,3,IF(P79=Q79,1,0))))</f>
        <v>0</v>
      </c>
      <c r="N203" s="1">
        <f>IF(Q79="",0,(IF(Q79&gt;P79,3,IF(Q79=P79,1,0))))</f>
        <v>0</v>
      </c>
      <c r="S203" s="1">
        <f>IF(V79="",0,(IF(V79&gt;W79,3,IF(V79=W79,1,0))))</f>
        <v>0</v>
      </c>
      <c r="T203" s="1">
        <f>IF(W79="",0,(IF(W79&gt;V79,3,IF(W79=V79,1,0))))</f>
        <v>0</v>
      </c>
    </row>
    <row r="204" spans="1:23" hidden="1" x14ac:dyDescent="0.25">
      <c r="A204" s="1">
        <f>IF(D80="",0,(IF(D80&gt;E80,3,IF(D80=E80,1,0))))</f>
        <v>0</v>
      </c>
      <c r="B204" s="1">
        <f>IF(E80="",0,(IF(E80&gt;D80,3,IF(E80=D80,1,0))))</f>
        <v>0</v>
      </c>
      <c r="G204" s="1">
        <f>IF(J80="",0,(IF(J80&gt;K80,3,IF(J80=K80,1,0))))</f>
        <v>0</v>
      </c>
      <c r="H204" s="1">
        <f>IF(K80="",0,(IF(K80&gt;J80,3,IF(K80=J80,1,0))))</f>
        <v>0</v>
      </c>
      <c r="M204" s="1">
        <f>IF(P80="",0,(IF(P80&gt;Q80,3,IF(P80=Q80,1,0))))</f>
        <v>0</v>
      </c>
      <c r="N204" s="1">
        <f>IF(Q80="",0,(IF(Q80&gt;P80,3,IF(Q80=P80,1,0))))</f>
        <v>0</v>
      </c>
      <c r="S204" s="1">
        <f>IF(V80="",0,(IF(V80&gt;W80,3,IF(V80=W80,1,0))))</f>
        <v>0</v>
      </c>
      <c r="T204" s="1">
        <f>IF(W80="",0,(IF(W80&gt;V80,3,IF(W80=V80,1,0))))</f>
        <v>0</v>
      </c>
    </row>
    <row r="205" spans="1:23" hidden="1" x14ac:dyDescent="0.25"/>
    <row r="206" spans="1:23" hidden="1" x14ac:dyDescent="0.25"/>
    <row r="207" spans="1:23" hidden="1" x14ac:dyDescent="0.25"/>
    <row r="208" spans="1:23" hidden="1" x14ac:dyDescent="0.25"/>
    <row r="209" spans="1:23" hidden="1" x14ac:dyDescent="0.25"/>
    <row r="210" spans="1:23" hidden="1" x14ac:dyDescent="0.25"/>
    <row r="211" spans="1:23" hidden="1" x14ac:dyDescent="0.25"/>
    <row r="212" spans="1:23" hidden="1" x14ac:dyDescent="0.25"/>
    <row r="213" spans="1:23" ht="15.75" hidden="1" thickBot="1" x14ac:dyDescent="0.3"/>
    <row r="214" spans="1:23" ht="16.5" hidden="1" thickBot="1" x14ac:dyDescent="0.3">
      <c r="A214" s="670" t="s">
        <v>305</v>
      </c>
      <c r="B214" s="671"/>
      <c r="C214" s="671"/>
      <c r="D214" s="671"/>
      <c r="E214" s="671"/>
      <c r="F214" s="671"/>
      <c r="G214" s="671"/>
      <c r="H214" s="671"/>
      <c r="I214" s="671"/>
      <c r="J214" s="671"/>
      <c r="K214" s="671"/>
      <c r="L214" s="671"/>
      <c r="M214" s="671"/>
      <c r="N214" s="671"/>
      <c r="O214" s="671"/>
      <c r="P214" s="671"/>
      <c r="Q214" s="671"/>
      <c r="R214" s="671"/>
      <c r="S214" s="671"/>
      <c r="T214" s="671"/>
      <c r="U214" s="671"/>
      <c r="V214" s="671"/>
      <c r="W214" s="672"/>
    </row>
    <row r="215" spans="1:23" hidden="1" x14ac:dyDescent="0.25">
      <c r="A215" s="96"/>
      <c r="B215" s="711" t="s">
        <v>256</v>
      </c>
      <c r="C215" s="711"/>
      <c r="D215" s="711" t="s">
        <v>15</v>
      </c>
      <c r="E215" s="772"/>
      <c r="F215" s="773"/>
      <c r="G215" s="121"/>
      <c r="H215" s="711" t="s">
        <v>257</v>
      </c>
      <c r="I215" s="711"/>
      <c r="J215" s="711" t="s">
        <v>15</v>
      </c>
      <c r="K215" s="772"/>
      <c r="L215" s="75"/>
      <c r="M215" s="121"/>
      <c r="N215" s="711" t="s">
        <v>303</v>
      </c>
      <c r="O215" s="711"/>
      <c r="P215" s="711" t="s">
        <v>15</v>
      </c>
      <c r="Q215" s="772"/>
      <c r="R215" s="122"/>
      <c r="S215" s="96"/>
      <c r="T215" s="711" t="s">
        <v>304</v>
      </c>
      <c r="U215" s="711"/>
      <c r="V215" s="711" t="s">
        <v>15</v>
      </c>
      <c r="W215" s="712"/>
    </row>
    <row r="216" spans="1:23" hidden="1" x14ac:dyDescent="0.25">
      <c r="A216" s="86">
        <f>RANK(D216,$D$216:$E$219)</f>
        <v>1</v>
      </c>
      <c r="B216" s="69" t="str">
        <f>B89</f>
        <v>2eme A</v>
      </c>
      <c r="C216" s="69">
        <f>D95-E95+D99-E99+D103-E103</f>
        <v>0</v>
      </c>
      <c r="D216" s="681">
        <f>D89+4/10000000</f>
        <v>3.9999999999999998E-7</v>
      </c>
      <c r="E216" s="767"/>
      <c r="F216" s="774"/>
      <c r="G216" s="91">
        <f>RANK(J216,$J$216:$J$219)</f>
        <v>1</v>
      </c>
      <c r="H216" s="69" t="str">
        <f>H89</f>
        <v>2eme E</v>
      </c>
      <c r="I216" s="69">
        <f>J95-K95+J99-K99+J103-K103</f>
        <v>0</v>
      </c>
      <c r="J216" s="681">
        <f>J89+4/10000000</f>
        <v>3.9999999999999998E-7</v>
      </c>
      <c r="K216" s="767"/>
      <c r="L216" s="76"/>
      <c r="M216" s="91">
        <f>RANK(P216,$P$216:$P$219)</f>
        <v>1</v>
      </c>
      <c r="N216" s="69" t="str">
        <f>N89</f>
        <v>1er A</v>
      </c>
      <c r="O216" s="69">
        <f>P95-Q95+P99-Q99+P103-Q103</f>
        <v>0</v>
      </c>
      <c r="P216" s="681">
        <f>P89+4/10000000</f>
        <v>3.9999999999999998E-7</v>
      </c>
      <c r="Q216" s="767"/>
      <c r="R216" s="105"/>
      <c r="S216" s="86">
        <f>RANK(V216,$V$216:$V$219)</f>
        <v>1</v>
      </c>
      <c r="T216" s="69" t="str">
        <f>T89</f>
        <v>1er E</v>
      </c>
      <c r="U216" s="69">
        <f>V95-W95+V99-W99+V103-W103</f>
        <v>0</v>
      </c>
      <c r="V216" s="681">
        <f>V89+4/10000000</f>
        <v>3.9999999999999998E-7</v>
      </c>
      <c r="W216" s="682"/>
    </row>
    <row r="217" spans="1:23" hidden="1" x14ac:dyDescent="0.25">
      <c r="A217" s="86">
        <f t="shared" ref="A217:A219" si="12">RANK(D217,$D$216:$E$219)</f>
        <v>2</v>
      </c>
      <c r="B217" s="69" t="str">
        <f>B90</f>
        <v>2eme B</v>
      </c>
      <c r="C217" s="69">
        <f>E95-D95+D100-E100+D104-E104</f>
        <v>0</v>
      </c>
      <c r="D217" s="681">
        <f>D90+3/10000000</f>
        <v>2.9999999999999999E-7</v>
      </c>
      <c r="E217" s="767"/>
      <c r="F217" s="774"/>
      <c r="G217" s="91">
        <f t="shared" ref="G217:G219" si="13">RANK(J217,$J$216:$J$219)</f>
        <v>2</v>
      </c>
      <c r="H217" s="69" t="str">
        <f>H90</f>
        <v>2eme F</v>
      </c>
      <c r="I217" s="69">
        <f>K95-J95+J100-K100+J104-K104</f>
        <v>0</v>
      </c>
      <c r="J217" s="681">
        <f>J90+3/10000000</f>
        <v>2.9999999999999999E-7</v>
      </c>
      <c r="K217" s="767"/>
      <c r="L217" s="76"/>
      <c r="M217" s="91">
        <f t="shared" ref="M217:M219" si="14">RANK(P217,$P$216:$P$219)</f>
        <v>2</v>
      </c>
      <c r="N217" s="69" t="str">
        <f>N90</f>
        <v>1er B</v>
      </c>
      <c r="O217" s="69">
        <f>Q95-P95+P100-Q100+P104-Q104</f>
        <v>0</v>
      </c>
      <c r="P217" s="681">
        <f>P90+3/10000000</f>
        <v>2.9999999999999999E-7</v>
      </c>
      <c r="Q217" s="767"/>
      <c r="R217" s="105"/>
      <c r="S217" s="86">
        <f t="shared" ref="S217:S219" si="15">RANK(V217,$V$216:$V$219)</f>
        <v>2</v>
      </c>
      <c r="T217" s="69" t="str">
        <f>T90</f>
        <v>1er F</v>
      </c>
      <c r="U217" s="69">
        <f>W95-V95+V100-W100+V104-W104</f>
        <v>0</v>
      </c>
      <c r="V217" s="681">
        <f>V90+3/10000000</f>
        <v>2.9999999999999999E-7</v>
      </c>
      <c r="W217" s="682"/>
    </row>
    <row r="218" spans="1:23" hidden="1" x14ac:dyDescent="0.25">
      <c r="A218" s="86">
        <f t="shared" si="12"/>
        <v>3</v>
      </c>
      <c r="B218" s="69" t="str">
        <f>B91</f>
        <v>2eme C</v>
      </c>
      <c r="C218" s="69">
        <f>D96-E96+E99-D99+E104-D104</f>
        <v>0</v>
      </c>
      <c r="D218" s="681">
        <f>D91+2/10000000</f>
        <v>1.9999999999999999E-7</v>
      </c>
      <c r="E218" s="767"/>
      <c r="F218" s="774"/>
      <c r="G218" s="91">
        <f t="shared" si="13"/>
        <v>3</v>
      </c>
      <c r="H218" s="69" t="str">
        <f>H91</f>
        <v>2eme G</v>
      </c>
      <c r="I218" s="69">
        <f>J96-K96+K99-J99+K104-J104</f>
        <v>0</v>
      </c>
      <c r="J218" s="681">
        <f>J91+2/10000000</f>
        <v>1.9999999999999999E-7</v>
      </c>
      <c r="K218" s="767"/>
      <c r="L218" s="76"/>
      <c r="M218" s="91">
        <f t="shared" si="14"/>
        <v>3</v>
      </c>
      <c r="N218" s="69" t="str">
        <f>N91</f>
        <v>1er C</v>
      </c>
      <c r="O218" s="69">
        <f>P96-Q96+Q99-P99+Q104-P104</f>
        <v>0</v>
      </c>
      <c r="P218" s="681">
        <f>P91+2/10000000</f>
        <v>1.9999999999999999E-7</v>
      </c>
      <c r="Q218" s="767"/>
      <c r="R218" s="105"/>
      <c r="S218" s="86">
        <f t="shared" si="15"/>
        <v>3</v>
      </c>
      <c r="T218" s="69" t="str">
        <f>T91</f>
        <v>1er G</v>
      </c>
      <c r="U218" s="69">
        <f>V96-W96+W99-V99+W104-V104</f>
        <v>0</v>
      </c>
      <c r="V218" s="681">
        <f>V91+2/10000000</f>
        <v>1.9999999999999999E-7</v>
      </c>
      <c r="W218" s="682"/>
    </row>
    <row r="219" spans="1:23" ht="15.75" hidden="1" thickBot="1" x14ac:dyDescent="0.3">
      <c r="A219" s="87">
        <f t="shared" si="12"/>
        <v>4</v>
      </c>
      <c r="B219" s="88" t="str">
        <f>B92</f>
        <v>2eme D</v>
      </c>
      <c r="C219" s="88">
        <f>E96-D96+E100-D100+E103-D103</f>
        <v>0</v>
      </c>
      <c r="D219" s="709">
        <f>D92+1/10000000</f>
        <v>9.9999999999999995E-8</v>
      </c>
      <c r="E219" s="761"/>
      <c r="F219" s="775"/>
      <c r="G219" s="92">
        <f t="shared" si="13"/>
        <v>4</v>
      </c>
      <c r="H219" s="88" t="str">
        <f>H92</f>
        <v>2eme H</v>
      </c>
      <c r="I219" s="88">
        <f>K96-J96+K100-J100+K103-J103</f>
        <v>0</v>
      </c>
      <c r="J219" s="709">
        <f>J92+1/10000000</f>
        <v>9.9999999999999995E-8</v>
      </c>
      <c r="K219" s="761"/>
      <c r="L219" s="78"/>
      <c r="M219" s="92">
        <f t="shared" si="14"/>
        <v>4</v>
      </c>
      <c r="N219" s="88" t="str">
        <f>N92</f>
        <v>1er D</v>
      </c>
      <c r="O219" s="88">
        <f>Q96-P96+Q100-P100+Q103-P103</f>
        <v>0</v>
      </c>
      <c r="P219" s="709">
        <f>P92+1/10000000</f>
        <v>9.9999999999999995E-8</v>
      </c>
      <c r="Q219" s="761"/>
      <c r="R219" s="123"/>
      <c r="S219" s="87">
        <f t="shared" si="15"/>
        <v>4</v>
      </c>
      <c r="T219" s="88" t="str">
        <f>T92</f>
        <v>1er H</v>
      </c>
      <c r="U219" s="88">
        <f>W96-V96+W100-V100+W103-V103</f>
        <v>0</v>
      </c>
      <c r="V219" s="709">
        <f>V92+1/10000000</f>
        <v>9.9999999999999995E-8</v>
      </c>
      <c r="W219" s="710"/>
    </row>
    <row r="220" spans="1:23" hidden="1" x14ac:dyDescent="0.25">
      <c r="A220" s="700"/>
      <c r="B220" s="700"/>
      <c r="C220" s="700"/>
      <c r="D220" s="700"/>
      <c r="E220" s="700"/>
      <c r="F220" s="700"/>
      <c r="G220" s="700"/>
      <c r="H220" s="700"/>
      <c r="I220" s="700"/>
      <c r="J220" s="700"/>
      <c r="K220" s="700"/>
      <c r="L220" s="700"/>
      <c r="M220" s="700"/>
      <c r="N220" s="700"/>
      <c r="O220" s="700"/>
      <c r="P220" s="700"/>
      <c r="Q220" s="700"/>
    </row>
    <row r="221" spans="1:23" hidden="1" x14ac:dyDescent="0.25">
      <c r="A221" s="1">
        <f>IF(D95="",0,(IF(D95&gt;E95,3,IF(D95=E95,1,0))))</f>
        <v>0</v>
      </c>
      <c r="B221" s="1">
        <f>IF(E95="",0,(IF(E95&gt;D95,3,IF(E95=D95,1,0))))</f>
        <v>0</v>
      </c>
      <c r="G221" s="1">
        <f>IF(J95="",0,(IF(J95&gt;K95,3,IF(J95=K95,1,0))))</f>
        <v>0</v>
      </c>
      <c r="H221" s="1">
        <f>IF(K95="",0,(IF(K95&gt;J95,3,IF(K95=J95,1,0))))</f>
        <v>0</v>
      </c>
      <c r="M221" s="1">
        <f>IF(P95="",0,(IF(P95&gt;Q95,3,IF(P95=Q95,1,0))))</f>
        <v>0</v>
      </c>
      <c r="N221" s="1">
        <f>IF(Q95="",0,(IF(Q95&gt;P95,3,IF(Q95=P95,1,0))))</f>
        <v>0</v>
      </c>
      <c r="S221" s="1">
        <f>IF(V95="",0,(IF(V95&gt;W95,3,IF(V95=W95,1,0))))</f>
        <v>0</v>
      </c>
      <c r="T221" s="1">
        <f>IF(W95="",0,(IF(W95&gt;V95,3,IF(W95=V95,1,0))))</f>
        <v>0</v>
      </c>
    </row>
    <row r="222" spans="1:23" hidden="1" x14ac:dyDescent="0.25">
      <c r="A222" s="1">
        <f>IF(D96="",0,(IF(D96&gt;E96,3,IF(D96=E96,1,0))))</f>
        <v>0</v>
      </c>
      <c r="B222" s="1">
        <f>IF(E96="",0,(IF(E96&gt;D96,3,IF(E96=D96,1,0))))</f>
        <v>0</v>
      </c>
      <c r="G222" s="1">
        <f>IF(J96="",0,(IF(J96&gt;K96,3,IF(J96=K96,1,0))))</f>
        <v>0</v>
      </c>
      <c r="H222" s="1">
        <f>IF(K96="",0,(IF(K96&gt;J96,3,IF(K96=J96,1,0))))</f>
        <v>0</v>
      </c>
      <c r="M222" s="1">
        <f>IF(P96="",0,(IF(P96&gt;Q96,3,IF(P96=Q96,1,0))))</f>
        <v>0</v>
      </c>
      <c r="N222" s="1">
        <f>IF(Q96="",0,(IF(Q96&gt;P96,3,IF(Q96=P96,1,0))))</f>
        <v>0</v>
      </c>
      <c r="S222" s="1">
        <f>IF(V96="",0,(IF(V96&gt;W96,3,IF(V96=W96,1,0))))</f>
        <v>0</v>
      </c>
      <c r="T222" s="1">
        <f>IF(W96="",0,(IF(W96&gt;V96,3,IF(W96=V96,1,0))))</f>
        <v>0</v>
      </c>
    </row>
    <row r="223" spans="1:23" hidden="1" x14ac:dyDescent="0.25"/>
    <row r="224" spans="1:23" hidden="1" x14ac:dyDescent="0.25"/>
    <row r="225" spans="1:20" hidden="1" x14ac:dyDescent="0.25">
      <c r="A225" s="1">
        <f>IF(D99="",0,(IF(D99&gt;E99,3,IF(D99=E99,1,0))))</f>
        <v>0</v>
      </c>
      <c r="B225" s="1">
        <f>IF(E99="",0,(IF(E99&gt;D99,3,IF(E99=D99,1,0))))</f>
        <v>0</v>
      </c>
      <c r="G225" s="1">
        <f>IF(J99="",0,(IF(J99&gt;K99,3,IF(J99=K99,1,0))))</f>
        <v>0</v>
      </c>
      <c r="H225" s="1">
        <f>IF(K99="",0,(IF(K99&gt;J99,3,IF(K99=J99,1,0))))</f>
        <v>0</v>
      </c>
      <c r="M225" s="1">
        <f>IF(P99="",0,(IF(P99&gt;Q99,3,IF(P99=Q99,1,0))))</f>
        <v>0</v>
      </c>
      <c r="N225" s="1">
        <f>IF(Q99="",0,(IF(Q99&gt;P99,3,IF(Q99=P99,1,0))))</f>
        <v>0</v>
      </c>
      <c r="S225" s="1">
        <f>IF(V99="",0,(IF(V99&gt;W99,3,IF(V99=W99,1,0))))</f>
        <v>0</v>
      </c>
      <c r="T225" s="1">
        <f>IF(W99="",0,(IF(W99&gt;V99,3,IF(W99=V99,1,0))))</f>
        <v>0</v>
      </c>
    </row>
    <row r="226" spans="1:20" hidden="1" x14ac:dyDescent="0.25">
      <c r="A226" s="1">
        <f>IF(D100="",0,(IF(D100&gt;E100,3,IF(D100=E100,1,0))))</f>
        <v>0</v>
      </c>
      <c r="B226" s="1">
        <f>IF(E100="",0,(IF(E100&gt;D100,3,IF(E100=D100,1,0))))</f>
        <v>0</v>
      </c>
      <c r="G226" s="1">
        <f>IF(J100="",0,(IF(J100&gt;K100,3,IF(J100=K100,1,0))))</f>
        <v>0</v>
      </c>
      <c r="H226" s="1">
        <f>IF(K100="",0,(IF(K100&gt;J100,3,IF(K100=J100,1,0))))</f>
        <v>0</v>
      </c>
      <c r="M226" s="1">
        <f>IF(P100="",0,(IF(P100&gt;Q100,3,IF(P100=Q100,1,0))))</f>
        <v>0</v>
      </c>
      <c r="N226" s="1">
        <f>IF(Q100="",0,(IF(Q100&gt;P100,3,IF(Q100=P100,1,0))))</f>
        <v>0</v>
      </c>
      <c r="S226" s="1">
        <f>IF(V100="",0,(IF(V100&gt;W100,3,IF(V100=W100,1,0))))</f>
        <v>0</v>
      </c>
      <c r="T226" s="1">
        <f>IF(W100="",0,(IF(W100&gt;V100,3,IF(W100=V100,1,0))))</f>
        <v>0</v>
      </c>
    </row>
    <row r="227" spans="1:20" hidden="1" x14ac:dyDescent="0.25"/>
    <row r="228" spans="1:20" hidden="1" x14ac:dyDescent="0.25"/>
    <row r="229" spans="1:20" hidden="1" x14ac:dyDescent="0.25">
      <c r="A229" s="1">
        <f>IF(D103="",0,(IF(D103&gt;E103,3,IF(D103=E103,1,0))))</f>
        <v>0</v>
      </c>
      <c r="B229" s="1">
        <f>IF(E103="",0,(IF(E103&gt;D103,3,IF(E103=D103,1,0))))</f>
        <v>0</v>
      </c>
      <c r="G229" s="1">
        <f>IF(J103="",0,(IF(J103&gt;K103,3,IF(J103=K103,1,0))))</f>
        <v>0</v>
      </c>
      <c r="H229" s="1">
        <f>IF(K103="",0,(IF(K103&gt;J103,3,IF(K103=J103,1,0))))</f>
        <v>0</v>
      </c>
      <c r="M229" s="1">
        <f>IF(P103="",0,(IF(P103&gt;Q103,3,IF(P103=Q103,1,0))))</f>
        <v>0</v>
      </c>
      <c r="N229" s="1">
        <f>IF(Q103="",0,(IF(Q103&gt;P103,3,IF(Q103=P103,1,0))))</f>
        <v>0</v>
      </c>
      <c r="S229" s="1">
        <f>IF(V103="",0,(IF(V103&gt;W103,3,IF(V103=W103,1,0))))</f>
        <v>0</v>
      </c>
      <c r="T229" s="1">
        <f>IF(W103="",0,(IF(W103&gt;V103,3,IF(W103=V103,1,0))))</f>
        <v>0</v>
      </c>
    </row>
    <row r="230" spans="1:20" hidden="1" x14ac:dyDescent="0.25">
      <c r="A230" s="1">
        <f>IF(D104="",0,(IF(D104&gt;E104,3,IF(D104=E104,1,0))))</f>
        <v>0</v>
      </c>
      <c r="B230" s="1">
        <f>IF(E104="",0,(IF(E104&gt;D104,3,IF(E104=D104,1,0))))</f>
        <v>0</v>
      </c>
      <c r="G230" s="1">
        <f>IF(J104="",0,(IF(J104&gt;K104,3,IF(J104=K104,1,0))))</f>
        <v>0</v>
      </c>
      <c r="H230" s="1">
        <f>IF(K104="",0,(IF(K104&gt;J104,3,IF(K104=J104,1,0))))</f>
        <v>0</v>
      </c>
      <c r="M230" s="1">
        <f>IF(P104="",0,(IF(P104&gt;Q104,3,IF(P104=Q104,1,0))))</f>
        <v>0</v>
      </c>
      <c r="N230" s="1">
        <f>IF(Q104="",0,(IF(Q104&gt;P104,3,IF(Q104=P104,1,0))))</f>
        <v>0</v>
      </c>
      <c r="S230" s="1">
        <f>IF(V104="",0,(IF(V104&gt;W104,3,IF(V104=W104,1,0))))</f>
        <v>0</v>
      </c>
      <c r="T230" s="1">
        <f>IF(W104="",0,(IF(W104&gt;V104,3,IF(W104=V104,1,0))))</f>
        <v>0</v>
      </c>
    </row>
    <row r="231" spans="1:20" hidden="1" x14ac:dyDescent="0.25"/>
    <row r="232" spans="1:20" hidden="1" x14ac:dyDescent="0.25"/>
    <row r="233" spans="1:20" hidden="1" x14ac:dyDescent="0.25"/>
    <row r="234" spans="1:20" hidden="1" x14ac:dyDescent="0.25"/>
    <row r="235" spans="1:20" hidden="1" x14ac:dyDescent="0.25"/>
    <row r="236" spans="1:20" hidden="1" x14ac:dyDescent="0.25"/>
    <row r="237" spans="1:20" hidden="1" x14ac:dyDescent="0.25"/>
    <row r="238" spans="1:20" hidden="1" x14ac:dyDescent="0.25"/>
  </sheetData>
  <sheetProtection sheet="1" scenarios="1" selectLockedCells="1"/>
  <mergeCells count="632">
    <mergeCell ref="A60:W60"/>
    <mergeCell ref="B57:C57"/>
    <mergeCell ref="A33:W33"/>
    <mergeCell ref="A34:K34"/>
    <mergeCell ref="M34:W34"/>
    <mergeCell ref="B35:C35"/>
    <mergeCell ref="B29:C29"/>
    <mergeCell ref="B11:C11"/>
    <mergeCell ref="E5:G5"/>
    <mergeCell ref="L5:M5"/>
    <mergeCell ref="R5:S5"/>
    <mergeCell ref="A7:H7"/>
    <mergeCell ref="J7:L7"/>
    <mergeCell ref="O7:W7"/>
    <mergeCell ref="A8:K8"/>
    <mergeCell ref="M8:W8"/>
    <mergeCell ref="V11:W11"/>
    <mergeCell ref="B12:C12"/>
    <mergeCell ref="D12:E12"/>
    <mergeCell ref="H12:I12"/>
    <mergeCell ref="J12:K12"/>
    <mergeCell ref="N12:O12"/>
    <mergeCell ref="P12:Q12"/>
    <mergeCell ref="T12:U12"/>
    <mergeCell ref="A1:T1"/>
    <mergeCell ref="U1:W5"/>
    <mergeCell ref="E4:G4"/>
    <mergeCell ref="I4:K4"/>
    <mergeCell ref="L4:M4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V12:W12"/>
    <mergeCell ref="D11:E11"/>
    <mergeCell ref="H11:I11"/>
    <mergeCell ref="J11:K11"/>
    <mergeCell ref="N11:O11"/>
    <mergeCell ref="P11:Q11"/>
    <mergeCell ref="T11:U11"/>
    <mergeCell ref="T13:U13"/>
    <mergeCell ref="V13:W13"/>
    <mergeCell ref="B15:C15"/>
    <mergeCell ref="D15:E15"/>
    <mergeCell ref="H15:I15"/>
    <mergeCell ref="J15:K15"/>
    <mergeCell ref="N15:O15"/>
    <mergeCell ref="P15:Q15"/>
    <mergeCell ref="T15:U15"/>
    <mergeCell ref="V15:W15"/>
    <mergeCell ref="B13:C13"/>
    <mergeCell ref="D13:E13"/>
    <mergeCell ref="H13:I13"/>
    <mergeCell ref="J13:K13"/>
    <mergeCell ref="N13:O13"/>
    <mergeCell ref="P13:Q13"/>
    <mergeCell ref="T19:U19"/>
    <mergeCell ref="V19:W19"/>
    <mergeCell ref="B23:C23"/>
    <mergeCell ref="D23:E23"/>
    <mergeCell ref="H23:I23"/>
    <mergeCell ref="J23:K23"/>
    <mergeCell ref="N23:O23"/>
    <mergeCell ref="P23:Q23"/>
    <mergeCell ref="T23:U23"/>
    <mergeCell ref="V23:W23"/>
    <mergeCell ref="B19:C19"/>
    <mergeCell ref="D19:E19"/>
    <mergeCell ref="H19:I19"/>
    <mergeCell ref="J19:K19"/>
    <mergeCell ref="N19:O19"/>
    <mergeCell ref="P19:Q19"/>
    <mergeCell ref="A27:W27"/>
    <mergeCell ref="B28:C28"/>
    <mergeCell ref="D28:E28"/>
    <mergeCell ref="H28:I28"/>
    <mergeCell ref="J28:K28"/>
    <mergeCell ref="N28:O28"/>
    <mergeCell ref="P28:Q28"/>
    <mergeCell ref="T28:U28"/>
    <mergeCell ref="V28:W28"/>
    <mergeCell ref="V29:W29"/>
    <mergeCell ref="B30:C30"/>
    <mergeCell ref="D30:E30"/>
    <mergeCell ref="H30:I30"/>
    <mergeCell ref="J30:K30"/>
    <mergeCell ref="N30:O30"/>
    <mergeCell ref="P30:Q30"/>
    <mergeCell ref="T30:U30"/>
    <mergeCell ref="V30:W30"/>
    <mergeCell ref="D29:E29"/>
    <mergeCell ref="H29:I29"/>
    <mergeCell ref="J29:K29"/>
    <mergeCell ref="N29:O29"/>
    <mergeCell ref="P29:Q29"/>
    <mergeCell ref="T29:U29"/>
    <mergeCell ref="T31:U31"/>
    <mergeCell ref="V31:W31"/>
    <mergeCell ref="B32:C32"/>
    <mergeCell ref="D32:E32"/>
    <mergeCell ref="H32:I32"/>
    <mergeCell ref="J32:K32"/>
    <mergeCell ref="N32:O32"/>
    <mergeCell ref="P32:Q32"/>
    <mergeCell ref="T32:U32"/>
    <mergeCell ref="V32:W32"/>
    <mergeCell ref="B31:C31"/>
    <mergeCell ref="D31:E31"/>
    <mergeCell ref="H31:I31"/>
    <mergeCell ref="J31:K31"/>
    <mergeCell ref="N31:O31"/>
    <mergeCell ref="P31:Q31"/>
    <mergeCell ref="V35:W35"/>
    <mergeCell ref="B36:C36"/>
    <mergeCell ref="D36:E36"/>
    <mergeCell ref="H36:I36"/>
    <mergeCell ref="J36:K36"/>
    <mergeCell ref="N36:O36"/>
    <mergeCell ref="P36:Q36"/>
    <mergeCell ref="T36:U36"/>
    <mergeCell ref="V36:W36"/>
    <mergeCell ref="D35:E35"/>
    <mergeCell ref="H35:I35"/>
    <mergeCell ref="J35:K35"/>
    <mergeCell ref="N35:O35"/>
    <mergeCell ref="P35:Q35"/>
    <mergeCell ref="T35:U35"/>
    <mergeCell ref="T37:U37"/>
    <mergeCell ref="V37:W37"/>
    <mergeCell ref="B38:C38"/>
    <mergeCell ref="D38:E38"/>
    <mergeCell ref="H38:I38"/>
    <mergeCell ref="J38:K38"/>
    <mergeCell ref="N38:O38"/>
    <mergeCell ref="P38:Q38"/>
    <mergeCell ref="T38:U38"/>
    <mergeCell ref="V38:W38"/>
    <mergeCell ref="B37:C37"/>
    <mergeCell ref="D37:E37"/>
    <mergeCell ref="H37:I37"/>
    <mergeCell ref="J37:K37"/>
    <mergeCell ref="N37:O37"/>
    <mergeCell ref="P37:Q37"/>
    <mergeCell ref="T39:U39"/>
    <mergeCell ref="V39:W39"/>
    <mergeCell ref="B41:C41"/>
    <mergeCell ref="D41:E41"/>
    <mergeCell ref="H41:I41"/>
    <mergeCell ref="J41:K41"/>
    <mergeCell ref="N41:O41"/>
    <mergeCell ref="P41:Q41"/>
    <mergeCell ref="T41:U41"/>
    <mergeCell ref="V41:W41"/>
    <mergeCell ref="B39:C39"/>
    <mergeCell ref="D39:E39"/>
    <mergeCell ref="H39:I39"/>
    <mergeCell ref="J39:K39"/>
    <mergeCell ref="N39:O39"/>
    <mergeCell ref="P39:Q39"/>
    <mergeCell ref="T45:U45"/>
    <mergeCell ref="V45:W45"/>
    <mergeCell ref="B49:C49"/>
    <mergeCell ref="D49:E49"/>
    <mergeCell ref="H49:I49"/>
    <mergeCell ref="J49:K49"/>
    <mergeCell ref="N49:O49"/>
    <mergeCell ref="P49:Q49"/>
    <mergeCell ref="T49:U49"/>
    <mergeCell ref="V49:W49"/>
    <mergeCell ref="B45:C45"/>
    <mergeCell ref="D45:E45"/>
    <mergeCell ref="H45:I45"/>
    <mergeCell ref="J45:K45"/>
    <mergeCell ref="N45:O45"/>
    <mergeCell ref="P45:Q45"/>
    <mergeCell ref="A53:W53"/>
    <mergeCell ref="B54:C54"/>
    <mergeCell ref="D54:E54"/>
    <mergeCell ref="H54:I54"/>
    <mergeCell ref="J54:K54"/>
    <mergeCell ref="N54:O54"/>
    <mergeCell ref="P54:Q54"/>
    <mergeCell ref="T54:U54"/>
    <mergeCell ref="V54:W54"/>
    <mergeCell ref="T55:U55"/>
    <mergeCell ref="V55:W55"/>
    <mergeCell ref="B56:C56"/>
    <mergeCell ref="D56:E56"/>
    <mergeCell ref="H56:I56"/>
    <mergeCell ref="J56:K56"/>
    <mergeCell ref="N56:O56"/>
    <mergeCell ref="P56:Q56"/>
    <mergeCell ref="T56:U56"/>
    <mergeCell ref="V56:W56"/>
    <mergeCell ref="B55:C55"/>
    <mergeCell ref="D55:E55"/>
    <mergeCell ref="H55:I55"/>
    <mergeCell ref="J55:K55"/>
    <mergeCell ref="N55:O55"/>
    <mergeCell ref="P55:Q55"/>
    <mergeCell ref="A59:W59"/>
    <mergeCell ref="A61:W61"/>
    <mergeCell ref="A112:H112"/>
    <mergeCell ref="J112:L112"/>
    <mergeCell ref="O112:W112"/>
    <mergeCell ref="B64:C64"/>
    <mergeCell ref="D64:E64"/>
    <mergeCell ref="H64:I64"/>
    <mergeCell ref="V57:W57"/>
    <mergeCell ref="B58:C58"/>
    <mergeCell ref="D58:E58"/>
    <mergeCell ref="H58:I58"/>
    <mergeCell ref="J58:K58"/>
    <mergeCell ref="N58:O58"/>
    <mergeCell ref="P58:Q58"/>
    <mergeCell ref="T58:U58"/>
    <mergeCell ref="V58:W58"/>
    <mergeCell ref="D57:E57"/>
    <mergeCell ref="H57:I57"/>
    <mergeCell ref="J57:K57"/>
    <mergeCell ref="N57:O57"/>
    <mergeCell ref="P57:Q57"/>
    <mergeCell ref="T57:U57"/>
    <mergeCell ref="B68:C68"/>
    <mergeCell ref="M116:O116"/>
    <mergeCell ref="P116:Q116"/>
    <mergeCell ref="S116:U116"/>
    <mergeCell ref="V116:W116"/>
    <mergeCell ref="P114:Q114"/>
    <mergeCell ref="S114:U114"/>
    <mergeCell ref="V114:W114"/>
    <mergeCell ref="A116:C116"/>
    <mergeCell ref="D116:E116"/>
    <mergeCell ref="A114:C114"/>
    <mergeCell ref="D114:E114"/>
    <mergeCell ref="G114:I114"/>
    <mergeCell ref="J114:K114"/>
    <mergeCell ref="M114:O114"/>
    <mergeCell ref="A122:W122"/>
    <mergeCell ref="B123:F123"/>
    <mergeCell ref="H123:L123"/>
    <mergeCell ref="N123:R123"/>
    <mergeCell ref="T123:W123"/>
    <mergeCell ref="R113:R121"/>
    <mergeCell ref="G120:I120"/>
    <mergeCell ref="J120:K120"/>
    <mergeCell ref="M120:O120"/>
    <mergeCell ref="P120:Q120"/>
    <mergeCell ref="S120:U120"/>
    <mergeCell ref="V120:W120"/>
    <mergeCell ref="P118:Q118"/>
    <mergeCell ref="S118:U118"/>
    <mergeCell ref="V118:W118"/>
    <mergeCell ref="A120:C120"/>
    <mergeCell ref="D120:E120"/>
    <mergeCell ref="A118:C118"/>
    <mergeCell ref="D118:E118"/>
    <mergeCell ref="G118:I118"/>
    <mergeCell ref="J118:K118"/>
    <mergeCell ref="M118:O118"/>
    <mergeCell ref="G116:I116"/>
    <mergeCell ref="J116:K116"/>
    <mergeCell ref="B126:F126"/>
    <mergeCell ref="H126:L126"/>
    <mergeCell ref="N126:R126"/>
    <mergeCell ref="T126:W126"/>
    <mergeCell ref="B127:F127"/>
    <mergeCell ref="H127:L127"/>
    <mergeCell ref="N127:R127"/>
    <mergeCell ref="T127:W127"/>
    <mergeCell ref="B124:F124"/>
    <mergeCell ref="H124:L124"/>
    <mergeCell ref="N124:R124"/>
    <mergeCell ref="T124:W124"/>
    <mergeCell ref="B125:F125"/>
    <mergeCell ref="H125:L125"/>
    <mergeCell ref="N125:R125"/>
    <mergeCell ref="T125:W125"/>
    <mergeCell ref="B130:F130"/>
    <mergeCell ref="H130:L130"/>
    <mergeCell ref="N130:R130"/>
    <mergeCell ref="T130:W130"/>
    <mergeCell ref="A131:W131"/>
    <mergeCell ref="B128:F128"/>
    <mergeCell ref="H128:L128"/>
    <mergeCell ref="N128:R128"/>
    <mergeCell ref="T128:W128"/>
    <mergeCell ref="B129:F129"/>
    <mergeCell ref="H129:L129"/>
    <mergeCell ref="N129:R129"/>
    <mergeCell ref="T129:W129"/>
    <mergeCell ref="A133:W133"/>
    <mergeCell ref="B134:C134"/>
    <mergeCell ref="D134:E134"/>
    <mergeCell ref="F134:F138"/>
    <mergeCell ref="H134:I134"/>
    <mergeCell ref="J134:K134"/>
    <mergeCell ref="N134:O134"/>
    <mergeCell ref="P134:Q134"/>
    <mergeCell ref="T134:U134"/>
    <mergeCell ref="V134:W134"/>
    <mergeCell ref="V137:W137"/>
    <mergeCell ref="D138:E138"/>
    <mergeCell ref="J138:K138"/>
    <mergeCell ref="P138:Q138"/>
    <mergeCell ref="V138:W138"/>
    <mergeCell ref="D135:E135"/>
    <mergeCell ref="J135:K135"/>
    <mergeCell ref="P135:Q135"/>
    <mergeCell ref="V135:W135"/>
    <mergeCell ref="D136:E136"/>
    <mergeCell ref="J136:K136"/>
    <mergeCell ref="P136:Q136"/>
    <mergeCell ref="V136:W136"/>
    <mergeCell ref="A62:H62"/>
    <mergeCell ref="J62:L62"/>
    <mergeCell ref="O62:W62"/>
    <mergeCell ref="A63:K63"/>
    <mergeCell ref="M63:W63"/>
    <mergeCell ref="D162:E162"/>
    <mergeCell ref="J162:K162"/>
    <mergeCell ref="P162:Q162"/>
    <mergeCell ref="V162:W162"/>
    <mergeCell ref="T160:U160"/>
    <mergeCell ref="V160:W160"/>
    <mergeCell ref="D161:E161"/>
    <mergeCell ref="J161:K161"/>
    <mergeCell ref="P161:Q161"/>
    <mergeCell ref="V161:W161"/>
    <mergeCell ref="A139:Q139"/>
    <mergeCell ref="A151:Q151"/>
    <mergeCell ref="A159:W159"/>
    <mergeCell ref="B160:C160"/>
    <mergeCell ref="D160:E160"/>
    <mergeCell ref="F160:F164"/>
    <mergeCell ref="H160:I160"/>
    <mergeCell ref="J160:K160"/>
    <mergeCell ref="N160:O160"/>
    <mergeCell ref="J64:K64"/>
    <mergeCell ref="N64:O64"/>
    <mergeCell ref="P64:Q64"/>
    <mergeCell ref="T64:U64"/>
    <mergeCell ref="V64:W64"/>
    <mergeCell ref="B65:C65"/>
    <mergeCell ref="D65:E65"/>
    <mergeCell ref="H65:I65"/>
    <mergeCell ref="J65:K65"/>
    <mergeCell ref="N65:O65"/>
    <mergeCell ref="P65:Q65"/>
    <mergeCell ref="T65:U65"/>
    <mergeCell ref="V65:W65"/>
    <mergeCell ref="V68:W68"/>
    <mergeCell ref="V66:W66"/>
    <mergeCell ref="B67:C67"/>
    <mergeCell ref="D67:E67"/>
    <mergeCell ref="H67:I67"/>
    <mergeCell ref="J67:K67"/>
    <mergeCell ref="N67:O67"/>
    <mergeCell ref="P67:Q67"/>
    <mergeCell ref="T67:U67"/>
    <mergeCell ref="V67:W67"/>
    <mergeCell ref="D68:E68"/>
    <mergeCell ref="B66:C66"/>
    <mergeCell ref="D66:E66"/>
    <mergeCell ref="H66:I66"/>
    <mergeCell ref="J66:K66"/>
    <mergeCell ref="N66:O66"/>
    <mergeCell ref="P66:Q66"/>
    <mergeCell ref="T66:U66"/>
    <mergeCell ref="H68:I68"/>
    <mergeCell ref="J68:K68"/>
    <mergeCell ref="N68:O68"/>
    <mergeCell ref="P68:Q68"/>
    <mergeCell ref="T68:U68"/>
    <mergeCell ref="T70:U70"/>
    <mergeCell ref="V70:W70"/>
    <mergeCell ref="B74:C74"/>
    <mergeCell ref="D74:E74"/>
    <mergeCell ref="H74:I74"/>
    <mergeCell ref="J74:K74"/>
    <mergeCell ref="N74:O74"/>
    <mergeCell ref="P74:Q74"/>
    <mergeCell ref="T74:U74"/>
    <mergeCell ref="V74:W74"/>
    <mergeCell ref="B70:C70"/>
    <mergeCell ref="D70:E70"/>
    <mergeCell ref="H70:I70"/>
    <mergeCell ref="J70:K70"/>
    <mergeCell ref="N70:O70"/>
    <mergeCell ref="P70:Q70"/>
    <mergeCell ref="T78:U78"/>
    <mergeCell ref="V78:W78"/>
    <mergeCell ref="A81:W81"/>
    <mergeCell ref="B82:C82"/>
    <mergeCell ref="D82:E82"/>
    <mergeCell ref="H82:I82"/>
    <mergeCell ref="J82:K82"/>
    <mergeCell ref="N82:O82"/>
    <mergeCell ref="P82:Q82"/>
    <mergeCell ref="T82:U82"/>
    <mergeCell ref="B78:C78"/>
    <mergeCell ref="D78:E78"/>
    <mergeCell ref="H78:I78"/>
    <mergeCell ref="J78:K78"/>
    <mergeCell ref="N78:O78"/>
    <mergeCell ref="P78:Q78"/>
    <mergeCell ref="V82:W82"/>
    <mergeCell ref="B83:C83"/>
    <mergeCell ref="D83:E83"/>
    <mergeCell ref="H83:I83"/>
    <mergeCell ref="J83:K83"/>
    <mergeCell ref="N83:O83"/>
    <mergeCell ref="P83:Q83"/>
    <mergeCell ref="T83:U83"/>
    <mergeCell ref="V83:W83"/>
    <mergeCell ref="T84:U84"/>
    <mergeCell ref="V84:W84"/>
    <mergeCell ref="B85:C85"/>
    <mergeCell ref="D85:E85"/>
    <mergeCell ref="H85:I85"/>
    <mergeCell ref="J85:K85"/>
    <mergeCell ref="N85:O85"/>
    <mergeCell ref="P85:Q85"/>
    <mergeCell ref="T85:U85"/>
    <mergeCell ref="V85:W85"/>
    <mergeCell ref="B84:C84"/>
    <mergeCell ref="D84:E84"/>
    <mergeCell ref="H84:I84"/>
    <mergeCell ref="J84:K84"/>
    <mergeCell ref="N84:O84"/>
    <mergeCell ref="P84:Q84"/>
    <mergeCell ref="T86:U86"/>
    <mergeCell ref="V86:W86"/>
    <mergeCell ref="A87:K87"/>
    <mergeCell ref="M87:W87"/>
    <mergeCell ref="B88:C88"/>
    <mergeCell ref="D88:E88"/>
    <mergeCell ref="H88:I88"/>
    <mergeCell ref="J88:K88"/>
    <mergeCell ref="N88:O88"/>
    <mergeCell ref="B86:C86"/>
    <mergeCell ref="D86:E86"/>
    <mergeCell ref="H86:I86"/>
    <mergeCell ref="J86:K86"/>
    <mergeCell ref="N86:O86"/>
    <mergeCell ref="P86:Q86"/>
    <mergeCell ref="P88:Q88"/>
    <mergeCell ref="T88:U88"/>
    <mergeCell ref="V88:W88"/>
    <mergeCell ref="B89:C89"/>
    <mergeCell ref="D89:E89"/>
    <mergeCell ref="H89:I89"/>
    <mergeCell ref="J89:K89"/>
    <mergeCell ref="N89:O89"/>
    <mergeCell ref="P89:Q89"/>
    <mergeCell ref="T89:U89"/>
    <mergeCell ref="V89:W89"/>
    <mergeCell ref="B90:C90"/>
    <mergeCell ref="D90:E90"/>
    <mergeCell ref="H90:I90"/>
    <mergeCell ref="J90:K90"/>
    <mergeCell ref="N90:O90"/>
    <mergeCell ref="P90:Q90"/>
    <mergeCell ref="T90:U90"/>
    <mergeCell ref="V90:W90"/>
    <mergeCell ref="T91:U91"/>
    <mergeCell ref="V91:W91"/>
    <mergeCell ref="B92:C92"/>
    <mergeCell ref="D92:E92"/>
    <mergeCell ref="H92:I92"/>
    <mergeCell ref="J92:K92"/>
    <mergeCell ref="N92:O92"/>
    <mergeCell ref="P92:Q92"/>
    <mergeCell ref="T92:U92"/>
    <mergeCell ref="V92:W92"/>
    <mergeCell ref="B91:C91"/>
    <mergeCell ref="D91:E91"/>
    <mergeCell ref="H91:I91"/>
    <mergeCell ref="J91:K91"/>
    <mergeCell ref="N91:O91"/>
    <mergeCell ref="P91:Q91"/>
    <mergeCell ref="T94:U94"/>
    <mergeCell ref="V94:W94"/>
    <mergeCell ref="B98:C98"/>
    <mergeCell ref="D98:E98"/>
    <mergeCell ref="H98:I98"/>
    <mergeCell ref="J98:K98"/>
    <mergeCell ref="N98:O98"/>
    <mergeCell ref="P98:Q98"/>
    <mergeCell ref="T98:U98"/>
    <mergeCell ref="V98:W98"/>
    <mergeCell ref="B94:C94"/>
    <mergeCell ref="D94:E94"/>
    <mergeCell ref="H94:I94"/>
    <mergeCell ref="J94:K94"/>
    <mergeCell ref="N94:O94"/>
    <mergeCell ref="P94:Q94"/>
    <mergeCell ref="T102:U102"/>
    <mergeCell ref="V102:W102"/>
    <mergeCell ref="A105:W105"/>
    <mergeCell ref="B106:C106"/>
    <mergeCell ref="D106:E106"/>
    <mergeCell ref="H106:I106"/>
    <mergeCell ref="J106:K106"/>
    <mergeCell ref="N106:O106"/>
    <mergeCell ref="P106:Q106"/>
    <mergeCell ref="T106:U106"/>
    <mergeCell ref="B102:C102"/>
    <mergeCell ref="D102:E102"/>
    <mergeCell ref="H102:I102"/>
    <mergeCell ref="J102:K102"/>
    <mergeCell ref="N102:O102"/>
    <mergeCell ref="P102:Q102"/>
    <mergeCell ref="V106:W106"/>
    <mergeCell ref="B107:C107"/>
    <mergeCell ref="D107:E107"/>
    <mergeCell ref="H107:I107"/>
    <mergeCell ref="J107:K107"/>
    <mergeCell ref="N107:O107"/>
    <mergeCell ref="P107:Q107"/>
    <mergeCell ref="T107:U107"/>
    <mergeCell ref="V107:W107"/>
    <mergeCell ref="T108:U108"/>
    <mergeCell ref="V108:W108"/>
    <mergeCell ref="B109:C109"/>
    <mergeCell ref="D109:E109"/>
    <mergeCell ref="H109:I109"/>
    <mergeCell ref="J109:K109"/>
    <mergeCell ref="N109:O109"/>
    <mergeCell ref="P109:Q109"/>
    <mergeCell ref="T109:U109"/>
    <mergeCell ref="V109:W109"/>
    <mergeCell ref="B108:C108"/>
    <mergeCell ref="D108:E108"/>
    <mergeCell ref="H108:I108"/>
    <mergeCell ref="J108:K108"/>
    <mergeCell ref="N108:O108"/>
    <mergeCell ref="P108:Q108"/>
    <mergeCell ref="J189:K189"/>
    <mergeCell ref="P189:Q189"/>
    <mergeCell ref="V189:W189"/>
    <mergeCell ref="T110:U110"/>
    <mergeCell ref="V110:W110"/>
    <mergeCell ref="B110:C110"/>
    <mergeCell ref="D110:E110"/>
    <mergeCell ref="H110:I110"/>
    <mergeCell ref="J110:K110"/>
    <mergeCell ref="N110:O110"/>
    <mergeCell ref="P110:Q110"/>
    <mergeCell ref="D164:E164"/>
    <mergeCell ref="J164:K164"/>
    <mergeCell ref="P164:Q164"/>
    <mergeCell ref="V164:W164"/>
    <mergeCell ref="A165:Q165"/>
    <mergeCell ref="D163:E163"/>
    <mergeCell ref="J163:K163"/>
    <mergeCell ref="P163:Q163"/>
    <mergeCell ref="V163:W163"/>
    <mergeCell ref="P160:Q160"/>
    <mergeCell ref="D137:E137"/>
    <mergeCell ref="J137:K137"/>
    <mergeCell ref="P137:Q137"/>
    <mergeCell ref="V193:W193"/>
    <mergeCell ref="A194:Q194"/>
    <mergeCell ref="A188:W188"/>
    <mergeCell ref="B189:C189"/>
    <mergeCell ref="F189:F193"/>
    <mergeCell ref="H189:I189"/>
    <mergeCell ref="N189:O189"/>
    <mergeCell ref="T189:U189"/>
    <mergeCell ref="D193:E193"/>
    <mergeCell ref="J193:K193"/>
    <mergeCell ref="P193:Q193"/>
    <mergeCell ref="D191:E191"/>
    <mergeCell ref="J191:K191"/>
    <mergeCell ref="P191:Q191"/>
    <mergeCell ref="V191:W191"/>
    <mergeCell ref="D192:E192"/>
    <mergeCell ref="J192:K192"/>
    <mergeCell ref="P192:Q192"/>
    <mergeCell ref="V192:W192"/>
    <mergeCell ref="D190:E190"/>
    <mergeCell ref="J190:K190"/>
    <mergeCell ref="P190:Q190"/>
    <mergeCell ref="V190:W190"/>
    <mergeCell ref="D189:E189"/>
    <mergeCell ref="N215:O215"/>
    <mergeCell ref="D215:E215"/>
    <mergeCell ref="J215:K215"/>
    <mergeCell ref="P215:Q215"/>
    <mergeCell ref="V215:W215"/>
    <mergeCell ref="D216:E216"/>
    <mergeCell ref="J216:K216"/>
    <mergeCell ref="P216:Q216"/>
    <mergeCell ref="V216:W216"/>
    <mergeCell ref="T215:U215"/>
    <mergeCell ref="A111:W111"/>
    <mergeCell ref="A220:Q220"/>
    <mergeCell ref="A113:E113"/>
    <mergeCell ref="G113:K113"/>
    <mergeCell ref="M113:Q113"/>
    <mergeCell ref="S113:W113"/>
    <mergeCell ref="F113:F121"/>
    <mergeCell ref="L113:L121"/>
    <mergeCell ref="D218:E218"/>
    <mergeCell ref="J218:K218"/>
    <mergeCell ref="P218:Q218"/>
    <mergeCell ref="V218:W218"/>
    <mergeCell ref="D219:E219"/>
    <mergeCell ref="J219:K219"/>
    <mergeCell ref="P219:Q219"/>
    <mergeCell ref="V219:W219"/>
    <mergeCell ref="D217:E217"/>
    <mergeCell ref="J217:K217"/>
    <mergeCell ref="P217:Q217"/>
    <mergeCell ref="V217:W217"/>
    <mergeCell ref="A214:W214"/>
    <mergeCell ref="B215:C215"/>
    <mergeCell ref="F215:F219"/>
    <mergeCell ref="H215:I215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64" fitToHeight="3" orientation="landscape" horizontalDpi="300" verticalDpi="300" r:id="rId1"/>
  <rowBreaks count="2" manualBreakCount="2">
    <brk id="60" max="22" man="1"/>
    <brk id="111" max="22" man="1"/>
  </rowBreaks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X207"/>
  <sheetViews>
    <sheetView showGridLines="0" zoomScaleNormal="10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5.570312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5.570312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5.570312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322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811"/>
      <c r="V1" s="812"/>
      <c r="W1" s="813"/>
    </row>
    <row r="2" spans="1:23" ht="24.95" customHeight="1" x14ac:dyDescent="0.25">
      <c r="A2" s="262" t="s">
        <v>169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814"/>
      <c r="V2" s="815"/>
      <c r="W2" s="816"/>
    </row>
    <row r="3" spans="1:23" ht="24.95" customHeight="1" thickBot="1" x14ac:dyDescent="0.3">
      <c r="A3" s="263" t="s">
        <v>299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814"/>
      <c r="V3" s="815"/>
      <c r="W3" s="816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523"/>
      <c r="I4" s="741" t="s">
        <v>54</v>
      </c>
      <c r="J4" s="741"/>
      <c r="K4" s="741"/>
      <c r="L4" s="742">
        <f>(3*J7)+(3*J62)</f>
        <v>0.05</v>
      </c>
      <c r="M4" s="742"/>
      <c r="N4" s="264" t="s">
        <v>33</v>
      </c>
      <c r="O4" s="319"/>
      <c r="P4" s="200"/>
      <c r="Q4" s="200"/>
      <c r="R4" s="200"/>
      <c r="S4" s="200"/>
      <c r="T4" s="201"/>
      <c r="U4" s="814"/>
      <c r="V4" s="815"/>
      <c r="W4" s="816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S99-A16+J62</f>
        <v>0.14375000000000018</v>
      </c>
      <c r="F5" s="810"/>
      <c r="G5" s="810"/>
      <c r="H5" s="215"/>
      <c r="I5" s="216" t="s">
        <v>79</v>
      </c>
      <c r="J5" s="216"/>
      <c r="K5" s="216"/>
      <c r="L5" s="687">
        <v>2.2916666666666669E-2</v>
      </c>
      <c r="M5" s="688"/>
      <c r="N5" s="215"/>
      <c r="O5" s="216" t="s">
        <v>242</v>
      </c>
      <c r="P5" s="216"/>
      <c r="Q5" s="216"/>
      <c r="R5" s="687">
        <v>2.0833333333333333E-3</v>
      </c>
      <c r="S5" s="688"/>
      <c r="T5" s="320"/>
      <c r="U5" s="817"/>
      <c r="V5" s="818"/>
      <c r="W5" s="819"/>
    </row>
    <row r="6" spans="1:23" ht="24.95" customHeight="1" thickBot="1" x14ac:dyDescent="0.3">
      <c r="A6" s="317"/>
      <c r="B6" s="215"/>
      <c r="C6" s="215"/>
      <c r="D6" s="215"/>
      <c r="E6" s="524"/>
      <c r="F6" s="524"/>
      <c r="G6" s="524"/>
      <c r="H6" s="215"/>
      <c r="I6" s="216"/>
      <c r="J6" s="216"/>
      <c r="K6" s="216"/>
      <c r="L6" s="533"/>
      <c r="M6" s="533"/>
      <c r="N6" s="215"/>
      <c r="O6" s="216"/>
      <c r="P6" s="216"/>
      <c r="Q6" s="216"/>
      <c r="R6" s="533"/>
      <c r="S6" s="533"/>
      <c r="T6" s="493"/>
      <c r="U6" s="525"/>
      <c r="V6" s="525"/>
      <c r="W6" s="526"/>
    </row>
    <row r="7" spans="1:23" ht="21.75" thickBot="1" x14ac:dyDescent="0.4">
      <c r="A7" s="1141" t="s">
        <v>35</v>
      </c>
      <c r="B7" s="1142"/>
      <c r="C7" s="1142"/>
      <c r="D7" s="1142"/>
      <c r="E7" s="1142"/>
      <c r="F7" s="1142"/>
      <c r="G7" s="1142"/>
      <c r="H7" s="1142"/>
      <c r="I7" s="520" t="s">
        <v>18</v>
      </c>
      <c r="J7" s="782">
        <v>8.3333333333333332E-3</v>
      </c>
      <c r="K7" s="782"/>
      <c r="L7" s="782"/>
      <c r="M7" s="527" t="s">
        <v>17</v>
      </c>
      <c r="N7" s="520"/>
      <c r="O7" s="686"/>
      <c r="P7" s="686"/>
      <c r="Q7" s="686"/>
      <c r="R7" s="686"/>
      <c r="S7" s="686"/>
      <c r="T7" s="686"/>
      <c r="U7" s="686"/>
      <c r="V7" s="686"/>
      <c r="W7" s="781"/>
    </row>
    <row r="8" spans="1:23" ht="16.5" thickBot="1" x14ac:dyDescent="0.3">
      <c r="A8" s="780" t="s">
        <v>87</v>
      </c>
      <c r="B8" s="686"/>
      <c r="C8" s="686"/>
      <c r="D8" s="686"/>
      <c r="E8" s="781"/>
      <c r="F8" s="1053"/>
      <c r="G8" s="780" t="s">
        <v>88</v>
      </c>
      <c r="H8" s="686"/>
      <c r="I8" s="686"/>
      <c r="J8" s="686"/>
      <c r="K8" s="781"/>
      <c r="L8" s="567"/>
      <c r="M8" s="780" t="s">
        <v>250</v>
      </c>
      <c r="N8" s="686"/>
      <c r="O8" s="686"/>
      <c r="P8" s="686"/>
      <c r="Q8" s="781"/>
      <c r="R8" s="1053"/>
      <c r="S8" s="780" t="s">
        <v>251</v>
      </c>
      <c r="T8" s="686"/>
      <c r="U8" s="686"/>
      <c r="V8" s="686"/>
      <c r="W8" s="781"/>
    </row>
    <row r="9" spans="1:23" x14ac:dyDescent="0.25">
      <c r="A9" s="6"/>
      <c r="B9" s="744" t="s">
        <v>41</v>
      </c>
      <c r="C9" s="745"/>
      <c r="D9" s="744" t="s">
        <v>15</v>
      </c>
      <c r="E9" s="746"/>
      <c r="F9" s="1149"/>
      <c r="G9" s="7"/>
      <c r="H9" s="747" t="s">
        <v>42</v>
      </c>
      <c r="I9" s="748"/>
      <c r="J9" s="747" t="s">
        <v>15</v>
      </c>
      <c r="K9" s="749"/>
      <c r="L9" s="85"/>
      <c r="M9" s="8"/>
      <c r="N9" s="804" t="s">
        <v>43</v>
      </c>
      <c r="O9" s="805"/>
      <c r="P9" s="804" t="s">
        <v>15</v>
      </c>
      <c r="Q9" s="806"/>
      <c r="R9" s="1149"/>
      <c r="S9" s="9"/>
      <c r="T9" s="807" t="s">
        <v>55</v>
      </c>
      <c r="U9" s="808"/>
      <c r="V9" s="807" t="s">
        <v>15</v>
      </c>
      <c r="W9" s="809"/>
    </row>
    <row r="10" spans="1:23" x14ac:dyDescent="0.25">
      <c r="A10" s="10">
        <v>1</v>
      </c>
      <c r="B10" s="731" t="s">
        <v>22</v>
      </c>
      <c r="C10" s="732"/>
      <c r="D10" s="725">
        <f>A109+A113+A117+C104/1000000</f>
        <v>0</v>
      </c>
      <c r="E10" s="726"/>
      <c r="F10" s="1149"/>
      <c r="G10" s="11">
        <v>1</v>
      </c>
      <c r="H10" s="727" t="s">
        <v>26</v>
      </c>
      <c r="I10" s="728"/>
      <c r="J10" s="729">
        <f>G109+G113+G117+I104/1000000</f>
        <v>0</v>
      </c>
      <c r="K10" s="730"/>
      <c r="L10" s="85"/>
      <c r="M10" s="12">
        <v>1</v>
      </c>
      <c r="N10" s="800" t="s">
        <v>37</v>
      </c>
      <c r="O10" s="801"/>
      <c r="P10" s="802">
        <f>M109+M113+M117+O104/1000000</f>
        <v>0</v>
      </c>
      <c r="Q10" s="803"/>
      <c r="R10" s="1149"/>
      <c r="S10" s="13">
        <v>1</v>
      </c>
      <c r="T10" s="796" t="s">
        <v>56</v>
      </c>
      <c r="U10" s="797"/>
      <c r="V10" s="798">
        <f>S109+S113+S117+U104/1000000</f>
        <v>0</v>
      </c>
      <c r="W10" s="799"/>
    </row>
    <row r="11" spans="1:23" x14ac:dyDescent="0.25">
      <c r="A11" s="10">
        <v>2</v>
      </c>
      <c r="B11" s="731" t="s">
        <v>23</v>
      </c>
      <c r="C11" s="732"/>
      <c r="D11" s="725">
        <f>B109+A114+A118+C105/1000000</f>
        <v>0</v>
      </c>
      <c r="E11" s="726"/>
      <c r="F11" s="1149"/>
      <c r="G11" s="11">
        <v>2</v>
      </c>
      <c r="H11" s="727" t="s">
        <v>27</v>
      </c>
      <c r="I11" s="728"/>
      <c r="J11" s="729">
        <f>H109+G114+G118+I105/1000000</f>
        <v>0</v>
      </c>
      <c r="K11" s="730"/>
      <c r="L11" s="85"/>
      <c r="M11" s="12">
        <v>2</v>
      </c>
      <c r="N11" s="800" t="s">
        <v>38</v>
      </c>
      <c r="O11" s="801"/>
      <c r="P11" s="802">
        <f>N109+M114+M118+O105/1000000</f>
        <v>0</v>
      </c>
      <c r="Q11" s="803"/>
      <c r="R11" s="1149"/>
      <c r="S11" s="13">
        <v>2</v>
      </c>
      <c r="T11" s="796" t="s">
        <v>57</v>
      </c>
      <c r="U11" s="797"/>
      <c r="V11" s="798">
        <f>T109+S114+S118+U105/1000000</f>
        <v>0</v>
      </c>
      <c r="W11" s="799"/>
    </row>
    <row r="12" spans="1:23" x14ac:dyDescent="0.25">
      <c r="A12" s="10">
        <v>3</v>
      </c>
      <c r="B12" s="731" t="s">
        <v>24</v>
      </c>
      <c r="C12" s="732"/>
      <c r="D12" s="725">
        <f>A110+B113+B118+C106/1000000</f>
        <v>0</v>
      </c>
      <c r="E12" s="726"/>
      <c r="F12" s="1149"/>
      <c r="G12" s="11">
        <v>3</v>
      </c>
      <c r="H12" s="727" t="s">
        <v>28</v>
      </c>
      <c r="I12" s="728"/>
      <c r="J12" s="729">
        <f>G110+H113+H118+I106/1000000</f>
        <v>0</v>
      </c>
      <c r="K12" s="730"/>
      <c r="L12" s="85"/>
      <c r="M12" s="12">
        <v>3</v>
      </c>
      <c r="N12" s="800" t="s">
        <v>39</v>
      </c>
      <c r="O12" s="801"/>
      <c r="P12" s="802">
        <f>M110+N113+N118+O106/1000000</f>
        <v>0</v>
      </c>
      <c r="Q12" s="803"/>
      <c r="R12" s="1149"/>
      <c r="S12" s="13">
        <v>3</v>
      </c>
      <c r="T12" s="796" t="s">
        <v>58</v>
      </c>
      <c r="U12" s="797"/>
      <c r="V12" s="798">
        <f>S110+T113+T118+U106/1000000</f>
        <v>0</v>
      </c>
      <c r="W12" s="799"/>
    </row>
    <row r="13" spans="1:23" ht="15.75" thickBot="1" x14ac:dyDescent="0.3">
      <c r="A13" s="15">
        <v>4</v>
      </c>
      <c r="B13" s="717" t="s">
        <v>25</v>
      </c>
      <c r="C13" s="718"/>
      <c r="D13" s="719">
        <f>B110+B114+B117+C107/1000000</f>
        <v>0</v>
      </c>
      <c r="E13" s="720"/>
      <c r="F13" s="1149"/>
      <c r="G13" s="16">
        <v>4</v>
      </c>
      <c r="H13" s="721" t="s">
        <v>29</v>
      </c>
      <c r="I13" s="722"/>
      <c r="J13" s="723">
        <f>H110+H114+H117+I107/1000000</f>
        <v>0</v>
      </c>
      <c r="K13" s="724"/>
      <c r="L13" s="85"/>
      <c r="M13" s="17">
        <v>4</v>
      </c>
      <c r="N13" s="792" t="s">
        <v>40</v>
      </c>
      <c r="O13" s="793"/>
      <c r="P13" s="794">
        <f>N110+N114+N117+O107/1000000</f>
        <v>0</v>
      </c>
      <c r="Q13" s="795"/>
      <c r="R13" s="1149"/>
      <c r="S13" s="18">
        <v>4</v>
      </c>
      <c r="T13" s="788" t="s">
        <v>59</v>
      </c>
      <c r="U13" s="789"/>
      <c r="V13" s="790">
        <f>T110+T114+T117+U107/1000000</f>
        <v>0</v>
      </c>
      <c r="W13" s="791"/>
    </row>
    <row r="14" spans="1:23" ht="5.0999999999999996" customHeight="1" thickBot="1" x14ac:dyDescent="0.3">
      <c r="A14" s="19"/>
      <c r="B14" s="2"/>
      <c r="C14" s="2"/>
      <c r="D14" s="2"/>
      <c r="E14" s="21"/>
      <c r="F14" s="1149"/>
      <c r="G14" s="19"/>
      <c r="H14" s="2"/>
      <c r="I14" s="22"/>
      <c r="J14" s="2"/>
      <c r="K14" s="21"/>
      <c r="L14" s="85"/>
      <c r="M14" s="19"/>
      <c r="N14" s="2"/>
      <c r="O14" s="2"/>
      <c r="P14" s="2"/>
      <c r="Q14" s="21"/>
      <c r="R14" s="1149"/>
      <c r="S14" s="19"/>
      <c r="T14" s="2"/>
      <c r="U14" s="2"/>
      <c r="V14" s="2"/>
      <c r="W14" s="21"/>
    </row>
    <row r="15" spans="1:23" s="29" customFormat="1" x14ac:dyDescent="0.25">
      <c r="A15" s="24"/>
      <c r="B15" s="713" t="s">
        <v>5</v>
      </c>
      <c r="C15" s="713"/>
      <c r="D15" s="713" t="s">
        <v>16</v>
      </c>
      <c r="E15" s="714"/>
      <c r="F15" s="1149"/>
      <c r="G15" s="26"/>
      <c r="H15" s="715" t="s">
        <v>5</v>
      </c>
      <c r="I15" s="715"/>
      <c r="J15" s="715" t="s">
        <v>16</v>
      </c>
      <c r="K15" s="716"/>
      <c r="L15" s="99"/>
      <c r="M15" s="27"/>
      <c r="N15" s="786" t="s">
        <v>5</v>
      </c>
      <c r="O15" s="786"/>
      <c r="P15" s="786" t="s">
        <v>16</v>
      </c>
      <c r="Q15" s="787"/>
      <c r="R15" s="1149"/>
      <c r="S15" s="28"/>
      <c r="T15" s="784" t="s">
        <v>5</v>
      </c>
      <c r="U15" s="784"/>
      <c r="V15" s="784" t="s">
        <v>16</v>
      </c>
      <c r="W15" s="785"/>
    </row>
    <row r="16" spans="1:23" x14ac:dyDescent="0.25">
      <c r="A16" s="30">
        <f>E4</f>
        <v>0.375</v>
      </c>
      <c r="B16" s="31" t="str">
        <f>B10</f>
        <v>Equipe 1</v>
      </c>
      <c r="C16" s="31" t="str">
        <f>B11</f>
        <v>Equipe 2</v>
      </c>
      <c r="D16" s="53"/>
      <c r="E16" s="54"/>
      <c r="F16" s="1149"/>
      <c r="G16" s="32">
        <f>A16</f>
        <v>0.375</v>
      </c>
      <c r="H16" s="33" t="str">
        <f>H10</f>
        <v>Equipe 5</v>
      </c>
      <c r="I16" s="33" t="str">
        <f>H11</f>
        <v>Equipe 6</v>
      </c>
      <c r="J16" s="57"/>
      <c r="K16" s="58"/>
      <c r="L16" s="85"/>
      <c r="M16" s="34">
        <f>E4</f>
        <v>0.375</v>
      </c>
      <c r="N16" s="35" t="str">
        <f>N10</f>
        <v>Equipe 9</v>
      </c>
      <c r="O16" s="35" t="str">
        <f>N11</f>
        <v>Equipe 10</v>
      </c>
      <c r="P16" s="61"/>
      <c r="Q16" s="62"/>
      <c r="R16" s="1149"/>
      <c r="S16" s="36">
        <f>M16</f>
        <v>0.375</v>
      </c>
      <c r="T16" s="37" t="str">
        <f>T10</f>
        <v>Equipe 13</v>
      </c>
      <c r="U16" s="37" t="str">
        <f>T11</f>
        <v>Equipe 14</v>
      </c>
      <c r="V16" s="65"/>
      <c r="W16" s="66"/>
    </row>
    <row r="17" spans="1:23" ht="15.75" thickBot="1" x14ac:dyDescent="0.3">
      <c r="A17" s="38">
        <f>A16+$J$7+R5</f>
        <v>0.38541666666666669</v>
      </c>
      <c r="B17" s="39" t="str">
        <f>B12</f>
        <v>Equipe 3</v>
      </c>
      <c r="C17" s="39" t="str">
        <f>B13</f>
        <v>Equipe 4</v>
      </c>
      <c r="D17" s="55"/>
      <c r="E17" s="56"/>
      <c r="F17" s="1149"/>
      <c r="G17" s="40">
        <f>A17</f>
        <v>0.38541666666666669</v>
      </c>
      <c r="H17" s="41" t="str">
        <f>H12</f>
        <v>Equipe 7</v>
      </c>
      <c r="I17" s="41" t="str">
        <f>H13</f>
        <v>Equipe 8</v>
      </c>
      <c r="J17" s="59"/>
      <c r="K17" s="60"/>
      <c r="L17" s="85"/>
      <c r="M17" s="42">
        <f>M16+$J$7+R5</f>
        <v>0.38541666666666669</v>
      </c>
      <c r="N17" s="43" t="str">
        <f>N12</f>
        <v>Equipe 11</v>
      </c>
      <c r="O17" s="43" t="str">
        <f>N13</f>
        <v>Equipe 12</v>
      </c>
      <c r="P17" s="63"/>
      <c r="Q17" s="64"/>
      <c r="R17" s="1149"/>
      <c r="S17" s="44">
        <f>S16+$J$7+R5</f>
        <v>0.38541666666666669</v>
      </c>
      <c r="T17" s="45" t="str">
        <f>T12</f>
        <v>Equipe 15</v>
      </c>
      <c r="U17" s="45" t="str">
        <f>T13</f>
        <v>Equipe 16</v>
      </c>
      <c r="V17" s="67"/>
      <c r="W17" s="68"/>
    </row>
    <row r="18" spans="1:23" ht="5.0999999999999996" customHeight="1" thickBot="1" x14ac:dyDescent="0.3">
      <c r="A18" s="19"/>
      <c r="B18" s="2"/>
      <c r="C18" s="2"/>
      <c r="D18" s="521"/>
      <c r="E18" s="522"/>
      <c r="F18" s="1149"/>
      <c r="G18" s="19"/>
      <c r="H18" s="2"/>
      <c r="I18" s="47"/>
      <c r="J18" s="521"/>
      <c r="K18" s="522"/>
      <c r="L18" s="85"/>
      <c r="M18" s="19"/>
      <c r="N18" s="2"/>
      <c r="O18" s="2"/>
      <c r="P18" s="521"/>
      <c r="Q18" s="522"/>
      <c r="R18" s="1149"/>
      <c r="S18" s="19"/>
      <c r="T18" s="2"/>
      <c r="U18" s="2"/>
      <c r="V18" s="521"/>
      <c r="W18" s="522"/>
    </row>
    <row r="19" spans="1:23" s="29" customFormat="1" x14ac:dyDescent="0.25">
      <c r="A19" s="24"/>
      <c r="B19" s="713" t="s">
        <v>6</v>
      </c>
      <c r="C19" s="713"/>
      <c r="D19" s="713" t="s">
        <v>16</v>
      </c>
      <c r="E19" s="714"/>
      <c r="F19" s="1149"/>
      <c r="G19" s="26"/>
      <c r="H19" s="715" t="s">
        <v>6</v>
      </c>
      <c r="I19" s="715"/>
      <c r="J19" s="715" t="s">
        <v>16</v>
      </c>
      <c r="K19" s="716"/>
      <c r="L19" s="99"/>
      <c r="M19" s="27"/>
      <c r="N19" s="786" t="s">
        <v>6</v>
      </c>
      <c r="O19" s="786"/>
      <c r="P19" s="786" t="s">
        <v>16</v>
      </c>
      <c r="Q19" s="787"/>
      <c r="R19" s="1149"/>
      <c r="S19" s="28"/>
      <c r="T19" s="784" t="s">
        <v>6</v>
      </c>
      <c r="U19" s="784"/>
      <c r="V19" s="784" t="s">
        <v>16</v>
      </c>
      <c r="W19" s="785"/>
    </row>
    <row r="20" spans="1:23" x14ac:dyDescent="0.25">
      <c r="A20" s="30">
        <f>S17+$J$7+R5</f>
        <v>0.39583333333333337</v>
      </c>
      <c r="B20" s="31" t="str">
        <f>B10</f>
        <v>Equipe 1</v>
      </c>
      <c r="C20" s="31" t="str">
        <f>B12</f>
        <v>Equipe 3</v>
      </c>
      <c r="D20" s="53"/>
      <c r="E20" s="54"/>
      <c r="F20" s="1149"/>
      <c r="G20" s="32">
        <f>A20</f>
        <v>0.39583333333333337</v>
      </c>
      <c r="H20" s="33" t="str">
        <f>H10</f>
        <v>Equipe 5</v>
      </c>
      <c r="I20" s="33" t="str">
        <f>H12</f>
        <v>Equipe 7</v>
      </c>
      <c r="J20" s="57"/>
      <c r="K20" s="58"/>
      <c r="L20" s="85"/>
      <c r="M20" s="34">
        <f>S17+$J$7+R5</f>
        <v>0.39583333333333337</v>
      </c>
      <c r="N20" s="35" t="str">
        <f>N10</f>
        <v>Equipe 9</v>
      </c>
      <c r="O20" s="35" t="str">
        <f>N12</f>
        <v>Equipe 11</v>
      </c>
      <c r="P20" s="61"/>
      <c r="Q20" s="62"/>
      <c r="R20" s="1149"/>
      <c r="S20" s="36">
        <f>M20</f>
        <v>0.39583333333333337</v>
      </c>
      <c r="T20" s="37" t="str">
        <f>T10</f>
        <v>Equipe 13</v>
      </c>
      <c r="U20" s="37" t="str">
        <f>T12</f>
        <v>Equipe 15</v>
      </c>
      <c r="V20" s="65"/>
      <c r="W20" s="66"/>
    </row>
    <row r="21" spans="1:23" ht="15.75" thickBot="1" x14ac:dyDescent="0.3">
      <c r="A21" s="38">
        <f>A20+$J$7+R5</f>
        <v>0.40625000000000006</v>
      </c>
      <c r="B21" s="39" t="str">
        <f>B11</f>
        <v>Equipe 2</v>
      </c>
      <c r="C21" s="39" t="str">
        <f>B13</f>
        <v>Equipe 4</v>
      </c>
      <c r="D21" s="55"/>
      <c r="E21" s="56"/>
      <c r="F21" s="1149"/>
      <c r="G21" s="32">
        <f>A21</f>
        <v>0.40625000000000006</v>
      </c>
      <c r="H21" s="41" t="str">
        <f>H11</f>
        <v>Equipe 6</v>
      </c>
      <c r="I21" s="41" t="str">
        <f>H13</f>
        <v>Equipe 8</v>
      </c>
      <c r="J21" s="59"/>
      <c r="K21" s="60"/>
      <c r="L21" s="85"/>
      <c r="M21" s="42">
        <f>M20+$J$7+R5</f>
        <v>0.40625000000000006</v>
      </c>
      <c r="N21" s="43" t="str">
        <f>N11</f>
        <v>Equipe 10</v>
      </c>
      <c r="O21" s="43" t="str">
        <f>N13</f>
        <v>Equipe 12</v>
      </c>
      <c r="P21" s="63"/>
      <c r="Q21" s="64"/>
      <c r="R21" s="1149"/>
      <c r="S21" s="44">
        <f>S20+$J$7+R5</f>
        <v>0.40625000000000006</v>
      </c>
      <c r="T21" s="45" t="str">
        <f>T11</f>
        <v>Equipe 14</v>
      </c>
      <c r="U21" s="45" t="str">
        <f>T13</f>
        <v>Equipe 16</v>
      </c>
      <c r="V21" s="67"/>
      <c r="W21" s="68"/>
    </row>
    <row r="22" spans="1:23" ht="5.0999999999999996" customHeight="1" thickBot="1" x14ac:dyDescent="0.3">
      <c r="A22" s="19"/>
      <c r="B22" s="2"/>
      <c r="C22" s="2"/>
      <c r="D22" s="521"/>
      <c r="E22" s="522"/>
      <c r="F22" s="1149"/>
      <c r="G22" s="19"/>
      <c r="H22" s="2"/>
      <c r="I22" s="47"/>
      <c r="J22" s="521"/>
      <c r="K22" s="522"/>
      <c r="L22" s="85"/>
      <c r="M22" s="19"/>
      <c r="N22" s="2"/>
      <c r="O22" s="2"/>
      <c r="P22" s="521"/>
      <c r="Q22" s="522"/>
      <c r="R22" s="1149"/>
      <c r="S22" s="19"/>
      <c r="T22" s="2"/>
      <c r="U22" s="2"/>
      <c r="V22" s="521"/>
      <c r="W22" s="522"/>
    </row>
    <row r="23" spans="1:23" s="29" customFormat="1" x14ac:dyDescent="0.25">
      <c r="A23" s="24"/>
      <c r="B23" s="713" t="s">
        <v>7</v>
      </c>
      <c r="C23" s="713"/>
      <c r="D23" s="713" t="s">
        <v>16</v>
      </c>
      <c r="E23" s="714"/>
      <c r="F23" s="1149"/>
      <c r="G23" s="26"/>
      <c r="H23" s="715" t="s">
        <v>7</v>
      </c>
      <c r="I23" s="715"/>
      <c r="J23" s="715" t="s">
        <v>16</v>
      </c>
      <c r="K23" s="716"/>
      <c r="L23" s="99"/>
      <c r="M23" s="27"/>
      <c r="N23" s="786" t="s">
        <v>7</v>
      </c>
      <c r="O23" s="786"/>
      <c r="P23" s="786" t="s">
        <v>16</v>
      </c>
      <c r="Q23" s="787"/>
      <c r="R23" s="1149"/>
      <c r="S23" s="28"/>
      <c r="T23" s="784" t="s">
        <v>7</v>
      </c>
      <c r="U23" s="784"/>
      <c r="V23" s="784" t="s">
        <v>16</v>
      </c>
      <c r="W23" s="785"/>
    </row>
    <row r="24" spans="1:23" x14ac:dyDescent="0.25">
      <c r="A24" s="30">
        <f>G21+$J$7+R5</f>
        <v>0.41666666666666674</v>
      </c>
      <c r="B24" s="31" t="str">
        <f>B10</f>
        <v>Equipe 1</v>
      </c>
      <c r="C24" s="31" t="str">
        <f>B13</f>
        <v>Equipe 4</v>
      </c>
      <c r="D24" s="53"/>
      <c r="E24" s="54"/>
      <c r="F24" s="1149"/>
      <c r="G24" s="32">
        <f>A24</f>
        <v>0.41666666666666674</v>
      </c>
      <c r="H24" s="33" t="str">
        <f>H10</f>
        <v>Equipe 5</v>
      </c>
      <c r="I24" s="33" t="str">
        <f>H13</f>
        <v>Equipe 8</v>
      </c>
      <c r="J24" s="57"/>
      <c r="K24" s="58"/>
      <c r="L24" s="85"/>
      <c r="M24" s="34">
        <f>A24</f>
        <v>0.41666666666666674</v>
      </c>
      <c r="N24" s="35" t="str">
        <f>N10</f>
        <v>Equipe 9</v>
      </c>
      <c r="O24" s="35" t="str">
        <f>N13</f>
        <v>Equipe 12</v>
      </c>
      <c r="P24" s="61"/>
      <c r="Q24" s="62"/>
      <c r="R24" s="1149"/>
      <c r="S24" s="36">
        <f>M24</f>
        <v>0.41666666666666674</v>
      </c>
      <c r="T24" s="37" t="str">
        <f>T10</f>
        <v>Equipe 13</v>
      </c>
      <c r="U24" s="37" t="str">
        <f>T13</f>
        <v>Equipe 16</v>
      </c>
      <c r="V24" s="65"/>
      <c r="W24" s="66"/>
    </row>
    <row r="25" spans="1:23" ht="15.75" thickBot="1" x14ac:dyDescent="0.3">
      <c r="A25" s="38">
        <f>A24+$J$7+R5</f>
        <v>0.42708333333333343</v>
      </c>
      <c r="B25" s="39" t="str">
        <f>B11</f>
        <v>Equipe 2</v>
      </c>
      <c r="C25" s="39" t="str">
        <f>B12</f>
        <v>Equipe 3</v>
      </c>
      <c r="D25" s="55"/>
      <c r="E25" s="56"/>
      <c r="F25" s="1150"/>
      <c r="G25" s="40">
        <f>A25</f>
        <v>0.42708333333333343</v>
      </c>
      <c r="H25" s="41" t="str">
        <f>H11</f>
        <v>Equipe 6</v>
      </c>
      <c r="I25" s="41" t="str">
        <f>H12</f>
        <v>Equipe 7</v>
      </c>
      <c r="J25" s="59"/>
      <c r="K25" s="60"/>
      <c r="L25" s="89"/>
      <c r="M25" s="42">
        <f>M24+$J$7+R5</f>
        <v>0.42708333333333343</v>
      </c>
      <c r="N25" s="43" t="str">
        <f>N11</f>
        <v>Equipe 10</v>
      </c>
      <c r="O25" s="43" t="str">
        <f>N12</f>
        <v>Equipe 11</v>
      </c>
      <c r="P25" s="63"/>
      <c r="Q25" s="64"/>
      <c r="R25" s="1150"/>
      <c r="S25" s="44">
        <f>S24+$J$7+R5</f>
        <v>0.42708333333333343</v>
      </c>
      <c r="T25" s="45" t="str">
        <f>T11</f>
        <v>Equipe 14</v>
      </c>
      <c r="U25" s="45" t="str">
        <f>T12</f>
        <v>Equipe 15</v>
      </c>
      <c r="V25" s="67"/>
      <c r="W25" s="68"/>
    </row>
    <row r="26" spans="1:23" ht="5.0999999999999996" customHeight="1" thickBot="1" x14ac:dyDescent="0.3">
      <c r="A26" s="118"/>
      <c r="B26" s="119"/>
      <c r="C26" s="119"/>
      <c r="D26" s="173"/>
      <c r="E26" s="173"/>
      <c r="F26" s="89"/>
      <c r="G26" s="120"/>
      <c r="H26" s="119"/>
      <c r="I26" s="119"/>
      <c r="J26" s="173"/>
      <c r="K26" s="173"/>
      <c r="L26" s="89"/>
      <c r="M26" s="120"/>
      <c r="N26" s="119"/>
      <c r="O26" s="119"/>
      <c r="P26" s="173"/>
      <c r="Q26" s="173"/>
      <c r="R26" s="89"/>
      <c r="S26" s="532"/>
      <c r="T26" s="530"/>
      <c r="U26" s="530"/>
      <c r="V26" s="116"/>
      <c r="W26" s="117"/>
    </row>
    <row r="27" spans="1:23" ht="16.5" thickBot="1" x14ac:dyDescent="0.3">
      <c r="A27" s="783" t="s">
        <v>60</v>
      </c>
      <c r="B27" s="762"/>
      <c r="C27" s="762"/>
      <c r="D27" s="762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3"/>
    </row>
    <row r="28" spans="1:23" x14ac:dyDescent="0.25">
      <c r="A28" s="81" t="s">
        <v>21</v>
      </c>
      <c r="B28" s="711" t="s">
        <v>41</v>
      </c>
      <c r="C28" s="711"/>
      <c r="D28" s="711" t="s">
        <v>15</v>
      </c>
      <c r="E28" s="712"/>
      <c r="F28" s="122"/>
      <c r="G28" s="81" t="s">
        <v>21</v>
      </c>
      <c r="H28" s="711" t="s">
        <v>42</v>
      </c>
      <c r="I28" s="711"/>
      <c r="J28" s="711" t="s">
        <v>15</v>
      </c>
      <c r="K28" s="712"/>
      <c r="L28" s="75"/>
      <c r="M28" s="81" t="s">
        <v>21</v>
      </c>
      <c r="N28" s="711" t="s">
        <v>43</v>
      </c>
      <c r="O28" s="711"/>
      <c r="P28" s="711" t="s">
        <v>15</v>
      </c>
      <c r="Q28" s="712"/>
      <c r="R28" s="122"/>
      <c r="S28" s="81" t="s">
        <v>21</v>
      </c>
      <c r="T28" s="711" t="s">
        <v>55</v>
      </c>
      <c r="U28" s="711"/>
      <c r="V28" s="711" t="s">
        <v>15</v>
      </c>
      <c r="W28" s="712"/>
    </row>
    <row r="29" spans="1:23" x14ac:dyDescent="0.25">
      <c r="A29" s="49">
        <v>1</v>
      </c>
      <c r="B29" s="680" t="str">
        <f>VLOOKUP($A29,$A$104:$D$107,2,FALSE)</f>
        <v>Equipe 1</v>
      </c>
      <c r="C29" s="680"/>
      <c r="D29" s="683">
        <f>VLOOKUP($A29,$A$104:$D$107,4,FALSE)</f>
        <v>3.9999999999999998E-7</v>
      </c>
      <c r="E29" s="684"/>
      <c r="F29" s="105"/>
      <c r="G29" s="49">
        <v>1</v>
      </c>
      <c r="H29" s="680" t="str">
        <f>VLOOKUP($G29,$G$104:$J$107,2,FALSE)</f>
        <v>Equipe 5</v>
      </c>
      <c r="I29" s="680"/>
      <c r="J29" s="681">
        <f>VLOOKUP($G29,$G$104:$J$107,4,FALSE)</f>
        <v>3.9999999999999998E-7</v>
      </c>
      <c r="K29" s="682"/>
      <c r="L29" s="76"/>
      <c r="M29" s="49">
        <v>1</v>
      </c>
      <c r="N29" s="680" t="str">
        <f>VLOOKUP($M29,$M$104:$P$107,2,FALSE)</f>
        <v>Equipe 9</v>
      </c>
      <c r="O29" s="680"/>
      <c r="P29" s="681">
        <f>VLOOKUP($M29,$M$104:$P$107,4,FALSE)</f>
        <v>3.9999999999999998E-7</v>
      </c>
      <c r="Q29" s="682"/>
      <c r="R29" s="105"/>
      <c r="S29" s="49">
        <v>1</v>
      </c>
      <c r="T29" s="680" t="str">
        <f>VLOOKUP($S29,$S$104:$V$107,2,FALSE)</f>
        <v>Equipe 13</v>
      </c>
      <c r="U29" s="680"/>
      <c r="V29" s="681">
        <f>VLOOKUP($S29,$S$104:$V$107,4,FALSE)</f>
        <v>3.9999999999999998E-7</v>
      </c>
      <c r="W29" s="682"/>
    </row>
    <row r="30" spans="1:23" x14ac:dyDescent="0.25">
      <c r="A30" s="49">
        <v>2</v>
      </c>
      <c r="B30" s="680" t="str">
        <f>VLOOKUP($A30,$A$104:$D$107,2,FALSE)</f>
        <v>Equipe 2</v>
      </c>
      <c r="C30" s="680"/>
      <c r="D30" s="683">
        <f>VLOOKUP($A30,$A$104:$D$107,4,FALSE)</f>
        <v>2.9999999999999999E-7</v>
      </c>
      <c r="E30" s="684"/>
      <c r="F30" s="105"/>
      <c r="G30" s="49">
        <v>2</v>
      </c>
      <c r="H30" s="680" t="str">
        <f>VLOOKUP($G30,$G$104:$J$107,2,FALSE)</f>
        <v>Equipe 6</v>
      </c>
      <c r="I30" s="680"/>
      <c r="J30" s="681">
        <f>VLOOKUP($G30,$G$104:$J$107,4,FALSE)</f>
        <v>2.9999999999999999E-7</v>
      </c>
      <c r="K30" s="682"/>
      <c r="L30" s="76"/>
      <c r="M30" s="49">
        <v>2</v>
      </c>
      <c r="N30" s="680" t="str">
        <f>VLOOKUP($M30,$M$104:$P$107,2,FALSE)</f>
        <v>Equipe 10</v>
      </c>
      <c r="O30" s="680"/>
      <c r="P30" s="681">
        <f>VLOOKUP($M30,$M$104:$P$107,4,FALSE)</f>
        <v>2.9999999999999999E-7</v>
      </c>
      <c r="Q30" s="682"/>
      <c r="R30" s="105"/>
      <c r="S30" s="49">
        <v>2</v>
      </c>
      <c r="T30" s="680" t="str">
        <f>VLOOKUP($S30,$S$104:$V$107,2,FALSE)</f>
        <v>Equipe 14</v>
      </c>
      <c r="U30" s="680"/>
      <c r="V30" s="681">
        <f>VLOOKUP($S30,$S$104:$V$107,4,FALSE)</f>
        <v>2.9999999999999999E-7</v>
      </c>
      <c r="W30" s="682"/>
    </row>
    <row r="31" spans="1:23" x14ac:dyDescent="0.25">
      <c r="A31" s="49">
        <v>3</v>
      </c>
      <c r="B31" s="680" t="str">
        <f>VLOOKUP($A31,$A$104:$D$107,2,FALSE)</f>
        <v>Equipe 3</v>
      </c>
      <c r="C31" s="680"/>
      <c r="D31" s="683">
        <f>VLOOKUP($A31,$A$104:$D$107,4,FALSE)</f>
        <v>1.9999999999999999E-7</v>
      </c>
      <c r="E31" s="684"/>
      <c r="F31" s="105"/>
      <c r="G31" s="49">
        <v>3</v>
      </c>
      <c r="H31" s="680" t="str">
        <f>VLOOKUP($G31,$G$104:$J$107,2,FALSE)</f>
        <v>Equipe 7</v>
      </c>
      <c r="I31" s="680"/>
      <c r="J31" s="681">
        <f>VLOOKUP($G31,$G$104:$J$107,4,FALSE)</f>
        <v>1.9999999999999999E-7</v>
      </c>
      <c r="K31" s="682"/>
      <c r="L31" s="76"/>
      <c r="M31" s="49">
        <v>3</v>
      </c>
      <c r="N31" s="680" t="str">
        <f>VLOOKUP($M31,$M$104:$P$107,2,FALSE)</f>
        <v>Equipe 11</v>
      </c>
      <c r="O31" s="680"/>
      <c r="P31" s="681">
        <f>VLOOKUP($M31,$M$104:$P$107,4,FALSE)</f>
        <v>1.9999999999999999E-7</v>
      </c>
      <c r="Q31" s="682"/>
      <c r="R31" s="105"/>
      <c r="S31" s="49">
        <v>3</v>
      </c>
      <c r="T31" s="680" t="str">
        <f>VLOOKUP($S31,$S$104:$V$107,2,FALSE)</f>
        <v>Equipe 15</v>
      </c>
      <c r="U31" s="680"/>
      <c r="V31" s="681">
        <f>VLOOKUP($S31,$S$104:$V$107,4,FALSE)</f>
        <v>1.9999999999999999E-7</v>
      </c>
      <c r="W31" s="682"/>
    </row>
    <row r="32" spans="1:23" ht="15.75" thickBot="1" x14ac:dyDescent="0.3">
      <c r="A32" s="50">
        <v>4</v>
      </c>
      <c r="B32" s="706" t="str">
        <f>VLOOKUP($A32,$A$104:$D$107,2,FALSE)</f>
        <v>Equipe 4</v>
      </c>
      <c r="C32" s="706"/>
      <c r="D32" s="707">
        <f>VLOOKUP($A32,$A$104:$D$107,4,FALSE)</f>
        <v>9.9999999999999995E-8</v>
      </c>
      <c r="E32" s="708"/>
      <c r="F32" s="123"/>
      <c r="G32" s="50">
        <v>4</v>
      </c>
      <c r="H32" s="706" t="str">
        <f>VLOOKUP($G32,$G$104:$J$107,2,FALSE)</f>
        <v>Equipe 8</v>
      </c>
      <c r="I32" s="706"/>
      <c r="J32" s="709">
        <f>VLOOKUP($G32,$G$104:$J$107,4,FALSE)</f>
        <v>9.9999999999999995E-8</v>
      </c>
      <c r="K32" s="710"/>
      <c r="L32" s="78"/>
      <c r="M32" s="50">
        <v>4</v>
      </c>
      <c r="N32" s="706" t="str">
        <f>VLOOKUP($M32,$M$104:$P$107,2,FALSE)</f>
        <v>Equipe 12</v>
      </c>
      <c r="O32" s="706"/>
      <c r="P32" s="709">
        <f>VLOOKUP($M32,$M$104:$P$107,4,FALSE)</f>
        <v>9.9999999999999995E-8</v>
      </c>
      <c r="Q32" s="710"/>
      <c r="R32" s="123"/>
      <c r="S32" s="50">
        <v>4</v>
      </c>
      <c r="T32" s="706" t="str">
        <f>VLOOKUP($S32,$S$104:$V$107,2,FALSE)</f>
        <v>Equipe 16</v>
      </c>
      <c r="U32" s="706"/>
      <c r="V32" s="709">
        <f>VLOOKUP($S32,$S$104:$V$107,4,FALSE)</f>
        <v>9.9999999999999995E-8</v>
      </c>
      <c r="W32" s="710"/>
    </row>
    <row r="33" spans="1:24" ht="15.75" thickBot="1" x14ac:dyDescent="0.3">
      <c r="A33" s="703" t="s">
        <v>34</v>
      </c>
      <c r="B33" s="704"/>
      <c r="C33" s="704"/>
      <c r="D33" s="704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704"/>
      <c r="R33" s="704"/>
      <c r="S33" s="704"/>
      <c r="T33" s="704"/>
      <c r="U33" s="704"/>
      <c r="V33" s="704"/>
      <c r="W33" s="705"/>
    </row>
    <row r="34" spans="1:24" ht="16.5" thickBot="1" x14ac:dyDescent="0.3">
      <c r="A34" s="780" t="s">
        <v>323</v>
      </c>
      <c r="B34" s="686"/>
      <c r="C34" s="686"/>
      <c r="D34" s="686"/>
      <c r="E34" s="781"/>
      <c r="F34" s="1053"/>
      <c r="G34" s="780" t="s">
        <v>324</v>
      </c>
      <c r="H34" s="686"/>
      <c r="I34" s="686"/>
      <c r="J34" s="686"/>
      <c r="K34" s="781"/>
      <c r="L34" s="1155"/>
      <c r="M34" s="780" t="s">
        <v>325</v>
      </c>
      <c r="N34" s="686"/>
      <c r="O34" s="686"/>
      <c r="P34" s="686"/>
      <c r="Q34" s="781"/>
      <c r="R34" s="1053"/>
      <c r="S34" s="780" t="s">
        <v>326</v>
      </c>
      <c r="T34" s="686"/>
      <c r="U34" s="686"/>
      <c r="V34" s="686"/>
      <c r="W34" s="781"/>
    </row>
    <row r="35" spans="1:24" ht="24.95" customHeight="1" x14ac:dyDescent="0.25">
      <c r="A35" s="9"/>
      <c r="B35" s="807" t="s">
        <v>91</v>
      </c>
      <c r="C35" s="808"/>
      <c r="D35" s="807" t="s">
        <v>15</v>
      </c>
      <c r="E35" s="809"/>
      <c r="F35" s="1149"/>
      <c r="G35" s="8"/>
      <c r="H35" s="804" t="s">
        <v>92</v>
      </c>
      <c r="I35" s="805"/>
      <c r="J35" s="804" t="s">
        <v>15</v>
      </c>
      <c r="K35" s="806"/>
      <c r="L35" s="1156"/>
      <c r="M35" s="7"/>
      <c r="N35" s="747" t="s">
        <v>264</v>
      </c>
      <c r="O35" s="748"/>
      <c r="P35" s="747" t="s">
        <v>15</v>
      </c>
      <c r="Q35" s="749"/>
      <c r="R35" s="1149"/>
      <c r="S35" s="6"/>
      <c r="T35" s="744" t="s">
        <v>265</v>
      </c>
      <c r="U35" s="745"/>
      <c r="V35" s="744" t="s">
        <v>15</v>
      </c>
      <c r="W35" s="746"/>
    </row>
    <row r="36" spans="1:24" ht="16.350000000000001" customHeight="1" x14ac:dyDescent="0.25">
      <c r="A36" s="13">
        <v>1</v>
      </c>
      <c r="B36" s="796" t="s">
        <v>93</v>
      </c>
      <c r="C36" s="797"/>
      <c r="D36" s="798">
        <f>A135+A139+A143+C130/1000000</f>
        <v>0</v>
      </c>
      <c r="E36" s="799"/>
      <c r="F36" s="1149"/>
      <c r="G36" s="12">
        <v>1</v>
      </c>
      <c r="H36" s="800" t="s">
        <v>97</v>
      </c>
      <c r="I36" s="801"/>
      <c r="J36" s="802">
        <f>G135+G139+G143+I130/1000000</f>
        <v>0</v>
      </c>
      <c r="K36" s="803"/>
      <c r="L36" s="1156"/>
      <c r="M36" s="11">
        <v>1</v>
      </c>
      <c r="N36" s="727" t="s">
        <v>266</v>
      </c>
      <c r="O36" s="728"/>
      <c r="P36" s="729">
        <f>M135+M139+M143+O130/1000000</f>
        <v>0</v>
      </c>
      <c r="Q36" s="730"/>
      <c r="R36" s="1149"/>
      <c r="S36" s="10">
        <v>1</v>
      </c>
      <c r="T36" s="731" t="s">
        <v>270</v>
      </c>
      <c r="U36" s="732"/>
      <c r="V36" s="725">
        <f>S135+S139+S143+U130/1000000</f>
        <v>0</v>
      </c>
      <c r="W36" s="726"/>
      <c r="X36" s="74"/>
    </row>
    <row r="37" spans="1:24" ht="16.350000000000001" customHeight="1" x14ac:dyDescent="0.25">
      <c r="A37" s="13">
        <v>2</v>
      </c>
      <c r="B37" s="796" t="s">
        <v>94</v>
      </c>
      <c r="C37" s="797"/>
      <c r="D37" s="798">
        <f>B135+A140+A144+C131/1000000</f>
        <v>0</v>
      </c>
      <c r="E37" s="799"/>
      <c r="F37" s="1149"/>
      <c r="G37" s="12">
        <v>2</v>
      </c>
      <c r="H37" s="800" t="s">
        <v>98</v>
      </c>
      <c r="I37" s="801"/>
      <c r="J37" s="802">
        <f>H135+G140+G144+I131/1000000</f>
        <v>0</v>
      </c>
      <c r="K37" s="803"/>
      <c r="L37" s="1156"/>
      <c r="M37" s="11">
        <v>2</v>
      </c>
      <c r="N37" s="727" t="s">
        <v>267</v>
      </c>
      <c r="O37" s="728"/>
      <c r="P37" s="729">
        <f>N135+M140+M144+O131/1000000</f>
        <v>0</v>
      </c>
      <c r="Q37" s="730"/>
      <c r="R37" s="1149"/>
      <c r="S37" s="10">
        <v>2</v>
      </c>
      <c r="T37" s="731" t="s">
        <v>271</v>
      </c>
      <c r="U37" s="732"/>
      <c r="V37" s="725">
        <f>T135+S140+S144+U131/1000000</f>
        <v>0</v>
      </c>
      <c r="W37" s="726"/>
      <c r="X37" s="74"/>
    </row>
    <row r="38" spans="1:24" ht="16.350000000000001" customHeight="1" x14ac:dyDescent="0.25">
      <c r="A38" s="13">
        <v>3</v>
      </c>
      <c r="B38" s="796" t="s">
        <v>95</v>
      </c>
      <c r="C38" s="797"/>
      <c r="D38" s="798">
        <f>A136+B139+B144+C132/1000000</f>
        <v>0</v>
      </c>
      <c r="E38" s="799"/>
      <c r="F38" s="1149"/>
      <c r="G38" s="12">
        <v>3</v>
      </c>
      <c r="H38" s="800" t="s">
        <v>99</v>
      </c>
      <c r="I38" s="801"/>
      <c r="J38" s="802">
        <f>G136+H139+H144+I132/1000000</f>
        <v>0</v>
      </c>
      <c r="K38" s="803"/>
      <c r="L38" s="1156"/>
      <c r="M38" s="11">
        <v>3</v>
      </c>
      <c r="N38" s="727" t="s">
        <v>268</v>
      </c>
      <c r="O38" s="728"/>
      <c r="P38" s="729">
        <f>M136+N139+N144+O132/1000000</f>
        <v>0</v>
      </c>
      <c r="Q38" s="730"/>
      <c r="R38" s="1149"/>
      <c r="S38" s="10">
        <v>3</v>
      </c>
      <c r="T38" s="731" t="s">
        <v>272</v>
      </c>
      <c r="U38" s="732"/>
      <c r="V38" s="725">
        <f>S136+T139+T144+U132/1000000</f>
        <v>0</v>
      </c>
      <c r="W38" s="726"/>
    </row>
    <row r="39" spans="1:24" ht="16.350000000000001" customHeight="1" thickBot="1" x14ac:dyDescent="0.3">
      <c r="A39" s="18">
        <v>4</v>
      </c>
      <c r="B39" s="788" t="s">
        <v>96</v>
      </c>
      <c r="C39" s="789"/>
      <c r="D39" s="790">
        <f>B136+B140+B143+C133/1000000</f>
        <v>0</v>
      </c>
      <c r="E39" s="791"/>
      <c r="F39" s="1149"/>
      <c r="G39" s="17">
        <v>4</v>
      </c>
      <c r="H39" s="792" t="s">
        <v>100</v>
      </c>
      <c r="I39" s="793"/>
      <c r="J39" s="794">
        <f>H136+H140+H143+I133/1000000</f>
        <v>0</v>
      </c>
      <c r="K39" s="795"/>
      <c r="L39" s="1156"/>
      <c r="M39" s="16">
        <v>4</v>
      </c>
      <c r="N39" s="721" t="s">
        <v>269</v>
      </c>
      <c r="O39" s="722"/>
      <c r="P39" s="723">
        <f>N136+N140+N143+O133/1000000</f>
        <v>0</v>
      </c>
      <c r="Q39" s="724"/>
      <c r="R39" s="1149"/>
      <c r="S39" s="15">
        <v>4</v>
      </c>
      <c r="T39" s="717" t="s">
        <v>273</v>
      </c>
      <c r="U39" s="718"/>
      <c r="V39" s="719">
        <f>T136+T140+T143+U133/1000000</f>
        <v>0</v>
      </c>
      <c r="W39" s="720"/>
    </row>
    <row r="40" spans="1:24" ht="5.0999999999999996" customHeight="1" thickBot="1" x14ac:dyDescent="0.3">
      <c r="A40" s="19"/>
      <c r="B40" s="2"/>
      <c r="C40" s="2"/>
      <c r="D40" s="2"/>
      <c r="E40" s="21"/>
      <c r="F40" s="1149"/>
      <c r="G40" s="19"/>
      <c r="H40" s="2"/>
      <c r="I40" s="2"/>
      <c r="J40" s="2"/>
      <c r="K40" s="21"/>
      <c r="L40" s="1156"/>
      <c r="M40" s="19"/>
      <c r="N40" s="2"/>
      <c r="O40" s="2"/>
      <c r="P40" s="2"/>
      <c r="Q40" s="21"/>
      <c r="R40" s="1149"/>
      <c r="S40" s="19"/>
      <c r="T40" s="2"/>
      <c r="U40" s="2"/>
      <c r="V40" s="2"/>
      <c r="W40" s="21"/>
    </row>
    <row r="41" spans="1:24" x14ac:dyDescent="0.25">
      <c r="A41" s="28"/>
      <c r="B41" s="784" t="s">
        <v>5</v>
      </c>
      <c r="C41" s="784"/>
      <c r="D41" s="784" t="s">
        <v>16</v>
      </c>
      <c r="E41" s="785"/>
      <c r="F41" s="1149"/>
      <c r="G41" s="27"/>
      <c r="H41" s="786" t="s">
        <v>5</v>
      </c>
      <c r="I41" s="786"/>
      <c r="J41" s="786" t="s">
        <v>16</v>
      </c>
      <c r="K41" s="787"/>
      <c r="L41" s="1156"/>
      <c r="M41" s="26"/>
      <c r="N41" s="715" t="s">
        <v>5</v>
      </c>
      <c r="O41" s="715"/>
      <c r="P41" s="715" t="s">
        <v>16</v>
      </c>
      <c r="Q41" s="716"/>
      <c r="R41" s="1149"/>
      <c r="S41" s="24"/>
      <c r="T41" s="713" t="s">
        <v>5</v>
      </c>
      <c r="U41" s="713"/>
      <c r="V41" s="713" t="s">
        <v>16</v>
      </c>
      <c r="W41" s="714"/>
    </row>
    <row r="42" spans="1:24" ht="14.45" customHeight="1" x14ac:dyDescent="0.25">
      <c r="A42" s="36">
        <f>E4</f>
        <v>0.375</v>
      </c>
      <c r="B42" s="37" t="str">
        <f>B36</f>
        <v>Equipe 17</v>
      </c>
      <c r="C42" s="37" t="str">
        <f>B37</f>
        <v>Equipe 18</v>
      </c>
      <c r="D42" s="65"/>
      <c r="E42" s="66"/>
      <c r="F42" s="1149"/>
      <c r="G42" s="34">
        <f>A42</f>
        <v>0.375</v>
      </c>
      <c r="H42" s="35" t="str">
        <f>H36</f>
        <v>Equipe 21</v>
      </c>
      <c r="I42" s="35" t="str">
        <f>H37</f>
        <v>Equipe 22</v>
      </c>
      <c r="J42" s="61"/>
      <c r="K42" s="62"/>
      <c r="L42" s="1156"/>
      <c r="M42" s="32">
        <f>E4</f>
        <v>0.375</v>
      </c>
      <c r="N42" s="33" t="str">
        <f>N36</f>
        <v>Equipe 25</v>
      </c>
      <c r="O42" s="33" t="str">
        <f>N37</f>
        <v>Equipe 26</v>
      </c>
      <c r="P42" s="57"/>
      <c r="Q42" s="58"/>
      <c r="R42" s="1149"/>
      <c r="S42" s="30">
        <f>M42</f>
        <v>0.375</v>
      </c>
      <c r="T42" s="31" t="str">
        <f>T36</f>
        <v>Equipe 29</v>
      </c>
      <c r="U42" s="31" t="str">
        <f>T37</f>
        <v>Equipe 30</v>
      </c>
      <c r="V42" s="53"/>
      <c r="W42" s="54"/>
    </row>
    <row r="43" spans="1:24" ht="14.45" customHeight="1" thickBot="1" x14ac:dyDescent="0.3">
      <c r="A43" s="44">
        <f>A42+$J$7+R5</f>
        <v>0.38541666666666669</v>
      </c>
      <c r="B43" s="45" t="str">
        <f>B38</f>
        <v>Equipe 19</v>
      </c>
      <c r="C43" s="45" t="str">
        <f>B39</f>
        <v>Equipe 20</v>
      </c>
      <c r="D43" s="67"/>
      <c r="E43" s="68"/>
      <c r="F43" s="1149"/>
      <c r="G43" s="42">
        <f>G42+$J$7+R5</f>
        <v>0.38541666666666669</v>
      </c>
      <c r="H43" s="43" t="str">
        <f>H38</f>
        <v>Equipe 23</v>
      </c>
      <c r="I43" s="43" t="str">
        <f>H39</f>
        <v>Equipe 24</v>
      </c>
      <c r="J43" s="63"/>
      <c r="K43" s="64"/>
      <c r="L43" s="1156"/>
      <c r="M43" s="40">
        <f>M42+$J$7+R5</f>
        <v>0.38541666666666669</v>
      </c>
      <c r="N43" s="41" t="str">
        <f>N38</f>
        <v>Equipe 27</v>
      </c>
      <c r="O43" s="41" t="str">
        <f>N39</f>
        <v>Equipe 28</v>
      </c>
      <c r="P43" s="59"/>
      <c r="Q43" s="60"/>
      <c r="R43" s="1149"/>
      <c r="S43" s="38">
        <f>S42+$J$7+R5</f>
        <v>0.38541666666666669</v>
      </c>
      <c r="T43" s="39" t="str">
        <f>T38</f>
        <v>Equipe 31</v>
      </c>
      <c r="U43" s="39" t="str">
        <f>T39</f>
        <v>Equipe 32</v>
      </c>
      <c r="V43" s="55"/>
      <c r="W43" s="56"/>
    </row>
    <row r="44" spans="1:24" ht="5.0999999999999996" customHeight="1" thickBot="1" x14ac:dyDescent="0.3">
      <c r="A44" s="19"/>
      <c r="B44" s="2"/>
      <c r="C44" s="2"/>
      <c r="D44" s="521"/>
      <c r="E44" s="522"/>
      <c r="F44" s="1149"/>
      <c r="G44" s="19"/>
      <c r="H44" s="2"/>
      <c r="I44" s="47"/>
      <c r="J44" s="521"/>
      <c r="K44" s="522"/>
      <c r="L44" s="1156"/>
      <c r="M44" s="19"/>
      <c r="N44" s="2"/>
      <c r="O44" s="2"/>
      <c r="P44" s="521"/>
      <c r="Q44" s="522"/>
      <c r="R44" s="1149"/>
      <c r="S44" s="19"/>
      <c r="T44" s="2"/>
      <c r="U44" s="2"/>
      <c r="V44" s="521"/>
      <c r="W44" s="522"/>
    </row>
    <row r="45" spans="1:24" x14ac:dyDescent="0.25">
      <c r="A45" s="28"/>
      <c r="B45" s="784" t="s">
        <v>6</v>
      </c>
      <c r="C45" s="784"/>
      <c r="D45" s="784" t="s">
        <v>16</v>
      </c>
      <c r="E45" s="785"/>
      <c r="F45" s="1149"/>
      <c r="G45" s="27"/>
      <c r="H45" s="786" t="s">
        <v>6</v>
      </c>
      <c r="I45" s="786"/>
      <c r="J45" s="786" t="s">
        <v>16</v>
      </c>
      <c r="K45" s="787"/>
      <c r="L45" s="1156"/>
      <c r="M45" s="26"/>
      <c r="N45" s="715" t="s">
        <v>6</v>
      </c>
      <c r="O45" s="715"/>
      <c r="P45" s="715" t="s">
        <v>16</v>
      </c>
      <c r="Q45" s="716"/>
      <c r="R45" s="1149"/>
      <c r="S45" s="24"/>
      <c r="T45" s="713" t="s">
        <v>6</v>
      </c>
      <c r="U45" s="713"/>
      <c r="V45" s="713" t="s">
        <v>16</v>
      </c>
      <c r="W45" s="714"/>
    </row>
    <row r="46" spans="1:24" ht="14.45" customHeight="1" x14ac:dyDescent="0.25">
      <c r="A46" s="36">
        <f>G43+$J$7+R5</f>
        <v>0.39583333333333337</v>
      </c>
      <c r="B46" s="37" t="str">
        <f>B36</f>
        <v>Equipe 17</v>
      </c>
      <c r="C46" s="37" t="str">
        <f>B38</f>
        <v>Equipe 19</v>
      </c>
      <c r="D46" s="65"/>
      <c r="E46" s="66"/>
      <c r="F46" s="1149"/>
      <c r="G46" s="34">
        <f>A46</f>
        <v>0.39583333333333337</v>
      </c>
      <c r="H46" s="35" t="str">
        <f>H36</f>
        <v>Equipe 21</v>
      </c>
      <c r="I46" s="35" t="str">
        <f>H38</f>
        <v>Equipe 23</v>
      </c>
      <c r="J46" s="61"/>
      <c r="K46" s="62"/>
      <c r="L46" s="1156"/>
      <c r="M46" s="32">
        <f>A46</f>
        <v>0.39583333333333337</v>
      </c>
      <c r="N46" s="33" t="str">
        <f>N36</f>
        <v>Equipe 25</v>
      </c>
      <c r="O46" s="33" t="str">
        <f>N38</f>
        <v>Equipe 27</v>
      </c>
      <c r="P46" s="57"/>
      <c r="Q46" s="58"/>
      <c r="R46" s="1149"/>
      <c r="S46" s="30">
        <f>M46</f>
        <v>0.39583333333333337</v>
      </c>
      <c r="T46" s="31" t="str">
        <f>T36</f>
        <v>Equipe 29</v>
      </c>
      <c r="U46" s="31" t="str">
        <f>T38</f>
        <v>Equipe 31</v>
      </c>
      <c r="V46" s="53"/>
      <c r="W46" s="54"/>
    </row>
    <row r="47" spans="1:24" ht="14.45" customHeight="1" thickBot="1" x14ac:dyDescent="0.3">
      <c r="A47" s="44">
        <f>A46+$J$7+R5</f>
        <v>0.40625000000000006</v>
      </c>
      <c r="B47" s="45" t="str">
        <f>B37</f>
        <v>Equipe 18</v>
      </c>
      <c r="C47" s="45" t="str">
        <f>B39</f>
        <v>Equipe 20</v>
      </c>
      <c r="D47" s="67"/>
      <c r="E47" s="68"/>
      <c r="F47" s="1149"/>
      <c r="G47" s="42">
        <f>G46+$J$7+R5</f>
        <v>0.40625000000000006</v>
      </c>
      <c r="H47" s="43" t="str">
        <f>H37</f>
        <v>Equipe 22</v>
      </c>
      <c r="I47" s="43" t="str">
        <f>H39</f>
        <v>Equipe 24</v>
      </c>
      <c r="J47" s="63"/>
      <c r="K47" s="64"/>
      <c r="L47" s="1156"/>
      <c r="M47" s="40">
        <f>M46+$J$7+R5</f>
        <v>0.40625000000000006</v>
      </c>
      <c r="N47" s="41" t="str">
        <f>N37</f>
        <v>Equipe 26</v>
      </c>
      <c r="O47" s="41" t="str">
        <f>N39</f>
        <v>Equipe 28</v>
      </c>
      <c r="P47" s="59"/>
      <c r="Q47" s="60"/>
      <c r="R47" s="1149"/>
      <c r="S47" s="38">
        <f>S46+$J$7+R5</f>
        <v>0.40625000000000006</v>
      </c>
      <c r="T47" s="39" t="str">
        <f>T37</f>
        <v>Equipe 30</v>
      </c>
      <c r="U47" s="39" t="str">
        <f>T39</f>
        <v>Equipe 32</v>
      </c>
      <c r="V47" s="55"/>
      <c r="W47" s="56"/>
    </row>
    <row r="48" spans="1:24" ht="5.0999999999999996" customHeight="1" thickBot="1" x14ac:dyDescent="0.3">
      <c r="A48" s="19"/>
      <c r="B48" s="2"/>
      <c r="C48" s="2"/>
      <c r="D48" s="521"/>
      <c r="E48" s="522"/>
      <c r="F48" s="1149"/>
      <c r="G48" s="19"/>
      <c r="H48" s="2"/>
      <c r="I48" s="47"/>
      <c r="J48" s="521"/>
      <c r="K48" s="522"/>
      <c r="L48" s="1156"/>
      <c r="M48" s="19"/>
      <c r="N48" s="2"/>
      <c r="O48" s="2"/>
      <c r="P48" s="521"/>
      <c r="Q48" s="522"/>
      <c r="R48" s="1149"/>
      <c r="S48" s="19"/>
      <c r="T48" s="2"/>
      <c r="U48" s="2"/>
      <c r="V48" s="521"/>
      <c r="W48" s="522"/>
    </row>
    <row r="49" spans="1:24" ht="14.45" customHeight="1" x14ac:dyDescent="0.25">
      <c r="A49" s="28"/>
      <c r="B49" s="784" t="s">
        <v>7</v>
      </c>
      <c r="C49" s="784"/>
      <c r="D49" s="784" t="s">
        <v>16</v>
      </c>
      <c r="E49" s="785"/>
      <c r="F49" s="1149"/>
      <c r="G49" s="27"/>
      <c r="H49" s="786" t="s">
        <v>7</v>
      </c>
      <c r="I49" s="786"/>
      <c r="J49" s="786" t="s">
        <v>16</v>
      </c>
      <c r="K49" s="787"/>
      <c r="L49" s="1156"/>
      <c r="M49" s="26"/>
      <c r="N49" s="715" t="s">
        <v>7</v>
      </c>
      <c r="O49" s="715"/>
      <c r="P49" s="715" t="s">
        <v>16</v>
      </c>
      <c r="Q49" s="716"/>
      <c r="R49" s="1149"/>
      <c r="S49" s="24"/>
      <c r="T49" s="713" t="s">
        <v>7</v>
      </c>
      <c r="U49" s="713"/>
      <c r="V49" s="713" t="s">
        <v>16</v>
      </c>
      <c r="W49" s="714"/>
    </row>
    <row r="50" spans="1:24" ht="14.45" customHeight="1" x14ac:dyDescent="0.25">
      <c r="A50" s="36">
        <f>G47+$J$7+R5</f>
        <v>0.41666666666666674</v>
      </c>
      <c r="B50" s="37" t="str">
        <f>B36</f>
        <v>Equipe 17</v>
      </c>
      <c r="C50" s="37" t="str">
        <f>B39</f>
        <v>Equipe 20</v>
      </c>
      <c r="D50" s="65"/>
      <c r="E50" s="66"/>
      <c r="F50" s="1149"/>
      <c r="G50" s="34">
        <f>A50</f>
        <v>0.41666666666666674</v>
      </c>
      <c r="H50" s="35" t="str">
        <f>H36</f>
        <v>Equipe 21</v>
      </c>
      <c r="I50" s="35" t="str">
        <f>H39</f>
        <v>Equipe 24</v>
      </c>
      <c r="J50" s="61"/>
      <c r="K50" s="62"/>
      <c r="L50" s="1156"/>
      <c r="M50" s="32">
        <f>A50</f>
        <v>0.41666666666666674</v>
      </c>
      <c r="N50" s="33" t="str">
        <f>N36</f>
        <v>Equipe 25</v>
      </c>
      <c r="O50" s="33" t="str">
        <f>N39</f>
        <v>Equipe 28</v>
      </c>
      <c r="P50" s="57"/>
      <c r="Q50" s="58"/>
      <c r="R50" s="1149"/>
      <c r="S50" s="30">
        <f>M50</f>
        <v>0.41666666666666674</v>
      </c>
      <c r="T50" s="31" t="str">
        <f>T36</f>
        <v>Equipe 29</v>
      </c>
      <c r="U50" s="31" t="str">
        <f>T39</f>
        <v>Equipe 32</v>
      </c>
      <c r="V50" s="53"/>
      <c r="W50" s="54"/>
    </row>
    <row r="51" spans="1:24" ht="15.75" thickBot="1" x14ac:dyDescent="0.3">
      <c r="A51" s="44">
        <f>A50+$J$7+R5</f>
        <v>0.42708333333333343</v>
      </c>
      <c r="B51" s="45" t="str">
        <f>B37</f>
        <v>Equipe 18</v>
      </c>
      <c r="C51" s="45" t="str">
        <f>B38</f>
        <v>Equipe 19</v>
      </c>
      <c r="D51" s="67"/>
      <c r="E51" s="68"/>
      <c r="F51" s="1150"/>
      <c r="G51" s="42">
        <f>G50+$J$7+R5</f>
        <v>0.42708333333333343</v>
      </c>
      <c r="H51" s="43" t="str">
        <f>H37</f>
        <v>Equipe 22</v>
      </c>
      <c r="I51" s="43" t="str">
        <f>H38</f>
        <v>Equipe 23</v>
      </c>
      <c r="J51" s="63"/>
      <c r="K51" s="64"/>
      <c r="L51" s="1157"/>
      <c r="M51" s="40">
        <f>M50+$J$7+R5</f>
        <v>0.42708333333333343</v>
      </c>
      <c r="N51" s="41" t="str">
        <f>N37</f>
        <v>Equipe 26</v>
      </c>
      <c r="O51" s="41" t="str">
        <f>N38</f>
        <v>Equipe 27</v>
      </c>
      <c r="P51" s="59"/>
      <c r="Q51" s="60"/>
      <c r="R51" s="1150"/>
      <c r="S51" s="38">
        <f>S50+$J$7+R5</f>
        <v>0.42708333333333343</v>
      </c>
      <c r="T51" s="39" t="str">
        <f>T37</f>
        <v>Equipe 30</v>
      </c>
      <c r="U51" s="39" t="str">
        <f>T38</f>
        <v>Equipe 31</v>
      </c>
      <c r="V51" s="55"/>
      <c r="W51" s="56"/>
    </row>
    <row r="52" spans="1:24" ht="14.45" customHeight="1" thickBot="1" x14ac:dyDescent="0.3">
      <c r="A52" s="118"/>
      <c r="B52" s="119"/>
      <c r="C52" s="119"/>
      <c r="D52" s="173"/>
      <c r="E52" s="173"/>
      <c r="F52" s="89"/>
      <c r="G52" s="120"/>
      <c r="H52" s="119"/>
      <c r="I52" s="119"/>
      <c r="J52" s="173"/>
      <c r="K52" s="173"/>
      <c r="L52" s="89"/>
      <c r="M52" s="120"/>
      <c r="N52" s="119"/>
      <c r="O52" s="119"/>
      <c r="P52" s="173"/>
      <c r="Q52" s="173"/>
      <c r="R52" s="89"/>
      <c r="S52" s="532"/>
      <c r="T52" s="530"/>
      <c r="U52" s="530"/>
      <c r="V52" s="116"/>
      <c r="W52" s="117"/>
    </row>
    <row r="53" spans="1:24" ht="14.45" customHeight="1" thickBot="1" x14ac:dyDescent="0.3">
      <c r="A53" s="783" t="s">
        <v>60</v>
      </c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2"/>
      <c r="R53" s="762"/>
      <c r="S53" s="762"/>
      <c r="T53" s="762"/>
      <c r="U53" s="762"/>
      <c r="V53" s="762"/>
      <c r="W53" s="763"/>
      <c r="X53" s="172"/>
    </row>
    <row r="54" spans="1:24" ht="14.45" customHeight="1" x14ac:dyDescent="0.25">
      <c r="A54" s="81" t="s">
        <v>21</v>
      </c>
      <c r="B54" s="711" t="s">
        <v>91</v>
      </c>
      <c r="C54" s="711"/>
      <c r="D54" s="711" t="s">
        <v>15</v>
      </c>
      <c r="E54" s="712"/>
      <c r="F54" s="122"/>
      <c r="G54" s="81" t="s">
        <v>21</v>
      </c>
      <c r="H54" s="711" t="s">
        <v>92</v>
      </c>
      <c r="I54" s="711"/>
      <c r="J54" s="711" t="s">
        <v>15</v>
      </c>
      <c r="K54" s="712"/>
      <c r="L54" s="75"/>
      <c r="M54" s="81" t="s">
        <v>21</v>
      </c>
      <c r="N54" s="711" t="s">
        <v>264</v>
      </c>
      <c r="O54" s="711"/>
      <c r="P54" s="711" t="s">
        <v>15</v>
      </c>
      <c r="Q54" s="712"/>
      <c r="R54" s="122"/>
      <c r="S54" s="81" t="s">
        <v>21</v>
      </c>
      <c r="T54" s="711" t="s">
        <v>265</v>
      </c>
      <c r="U54" s="711"/>
      <c r="V54" s="711" t="s">
        <v>15</v>
      </c>
      <c r="W54" s="712"/>
      <c r="X54" s="172"/>
    </row>
    <row r="55" spans="1:24" ht="14.45" customHeight="1" x14ac:dyDescent="0.25">
      <c r="A55" s="49">
        <v>1</v>
      </c>
      <c r="B55" s="680" t="str">
        <f>VLOOKUP($A55,$A$130:$D$133,2,FALSE)</f>
        <v>Equipe 17</v>
      </c>
      <c r="C55" s="680"/>
      <c r="D55" s="683">
        <f>VLOOKUP($A55,$A$130:$D$133,4,FALSE)</f>
        <v>3.9999999999999998E-7</v>
      </c>
      <c r="E55" s="684"/>
      <c r="F55" s="105"/>
      <c r="G55" s="49">
        <v>1</v>
      </c>
      <c r="H55" s="680" t="str">
        <f>VLOOKUP($G55,$G$130:$J$133,2,FALSE)</f>
        <v>Equipe 21</v>
      </c>
      <c r="I55" s="680"/>
      <c r="J55" s="681">
        <f>VLOOKUP($G55,$G$130:$J$133,4,FALSE)</f>
        <v>3.9999999999999998E-7</v>
      </c>
      <c r="K55" s="682"/>
      <c r="L55" s="76"/>
      <c r="M55" s="49">
        <v>1</v>
      </c>
      <c r="N55" s="824" t="str">
        <f>VLOOKUP($M55,$M$130:$P$133,2,FALSE)</f>
        <v>Equipe 25</v>
      </c>
      <c r="O55" s="825"/>
      <c r="P55" s="767">
        <f>VLOOKUP($M55,$M$130:$P$133,4,FALSE)</f>
        <v>3.9999999999999998E-7</v>
      </c>
      <c r="Q55" s="922"/>
      <c r="R55" s="105"/>
      <c r="S55" s="49">
        <v>1</v>
      </c>
      <c r="T55" s="680" t="str">
        <f>VLOOKUP($S55,$S$130:$V$133,2,FALSE)</f>
        <v>Equipe 29</v>
      </c>
      <c r="U55" s="680"/>
      <c r="V55" s="681">
        <f>VLOOKUP($S55,$S$130:$V$133,4,FALSE)</f>
        <v>3.9999999999999998E-7</v>
      </c>
      <c r="W55" s="682"/>
      <c r="X55" s="172"/>
    </row>
    <row r="56" spans="1:24" ht="14.45" customHeight="1" x14ac:dyDescent="0.25">
      <c r="A56" s="49">
        <v>2</v>
      </c>
      <c r="B56" s="680" t="str">
        <f>VLOOKUP($A56,$A$130:$D$133,2,FALSE)</f>
        <v>Equipe 18</v>
      </c>
      <c r="C56" s="680"/>
      <c r="D56" s="683">
        <f>VLOOKUP($A56,$A$130:$D$133,4,FALSE)</f>
        <v>2.9999999999999999E-7</v>
      </c>
      <c r="E56" s="684"/>
      <c r="F56" s="105"/>
      <c r="G56" s="49">
        <v>2</v>
      </c>
      <c r="H56" s="680" t="str">
        <f>VLOOKUP($G56,$G$130:$J$133,2,FALSE)</f>
        <v>Equipe 22</v>
      </c>
      <c r="I56" s="680"/>
      <c r="J56" s="681">
        <f>VLOOKUP($G56,$G$130:$J$133,4,FALSE)</f>
        <v>2.9999999999999999E-7</v>
      </c>
      <c r="K56" s="682"/>
      <c r="L56" s="76"/>
      <c r="M56" s="49">
        <v>2</v>
      </c>
      <c r="N56" s="824" t="str">
        <f>VLOOKUP($M56,$M$130:$P$133,2,FALSE)</f>
        <v>Equipe 26</v>
      </c>
      <c r="O56" s="825"/>
      <c r="P56" s="767">
        <f>VLOOKUP($M56,$M$130:$P$133,4,FALSE)</f>
        <v>2.9999999999999999E-7</v>
      </c>
      <c r="Q56" s="922"/>
      <c r="R56" s="105"/>
      <c r="S56" s="49">
        <v>2</v>
      </c>
      <c r="T56" s="680" t="str">
        <f>VLOOKUP($S56,$S$130:$V$133,2,FALSE)</f>
        <v>Equipe 30</v>
      </c>
      <c r="U56" s="680"/>
      <c r="V56" s="681">
        <f>VLOOKUP($S56,$S$130:$V$133,4,FALSE)</f>
        <v>2.9999999999999999E-7</v>
      </c>
      <c r="W56" s="682"/>
      <c r="X56" s="172"/>
    </row>
    <row r="57" spans="1:24" ht="15" customHeight="1" x14ac:dyDescent="0.25">
      <c r="A57" s="49">
        <v>3</v>
      </c>
      <c r="B57" s="680" t="str">
        <f>VLOOKUP($A57,$A$130:$D$133,2,FALSE)</f>
        <v>Equipe 19</v>
      </c>
      <c r="C57" s="680"/>
      <c r="D57" s="683">
        <f>VLOOKUP($A57,$A$130:$D$133,4,FALSE)</f>
        <v>1.9999999999999999E-7</v>
      </c>
      <c r="E57" s="684"/>
      <c r="F57" s="105"/>
      <c r="G57" s="49">
        <v>3</v>
      </c>
      <c r="H57" s="680" t="str">
        <f>VLOOKUP($G57,$G$130:$J$133,2,FALSE)</f>
        <v>Equipe 23</v>
      </c>
      <c r="I57" s="680"/>
      <c r="J57" s="681">
        <f>VLOOKUP($G57,$G$130:$J$133,4,FALSE)</f>
        <v>1.9999999999999999E-7</v>
      </c>
      <c r="K57" s="682"/>
      <c r="L57" s="76"/>
      <c r="M57" s="49">
        <v>3</v>
      </c>
      <c r="N57" s="824" t="str">
        <f>VLOOKUP($M57,$M$130:$P$133,2,FALSE)</f>
        <v>Equipe 27</v>
      </c>
      <c r="O57" s="825"/>
      <c r="P57" s="767">
        <f>VLOOKUP($M57,$M$130:$P$133,4,FALSE)</f>
        <v>1.9999999999999999E-7</v>
      </c>
      <c r="Q57" s="922"/>
      <c r="R57" s="105"/>
      <c r="S57" s="49">
        <v>3</v>
      </c>
      <c r="T57" s="680" t="str">
        <f>VLOOKUP($S57,$S$130:$V$133,2,FALSE)</f>
        <v>Equipe 31</v>
      </c>
      <c r="U57" s="680"/>
      <c r="V57" s="681">
        <f>VLOOKUP($S57,$S$130:$V$133,4,FALSE)</f>
        <v>1.9999999999999999E-7</v>
      </c>
      <c r="W57" s="682"/>
    </row>
    <row r="58" spans="1:24" s="2" customFormat="1" ht="15.75" thickBot="1" x14ac:dyDescent="0.3">
      <c r="A58" s="50">
        <v>4</v>
      </c>
      <c r="B58" s="680" t="str">
        <f>VLOOKUP($A58,$A$130:$D$133,2,FALSE)</f>
        <v>Equipe 20</v>
      </c>
      <c r="C58" s="680"/>
      <c r="D58" s="683">
        <f>VLOOKUP($A58,$A$130:$D$133,4,FALSE)</f>
        <v>9.9999999999999995E-8</v>
      </c>
      <c r="E58" s="684"/>
      <c r="F58" s="123"/>
      <c r="G58" s="50">
        <v>4</v>
      </c>
      <c r="H58" s="680" t="str">
        <f>VLOOKUP($G58,$G$130:$J$133,2,FALSE)</f>
        <v>Equipe 24</v>
      </c>
      <c r="I58" s="680"/>
      <c r="J58" s="681">
        <f>VLOOKUP($G58,$G$130:$J$133,4,FALSE)</f>
        <v>9.9999999999999995E-8</v>
      </c>
      <c r="K58" s="682"/>
      <c r="L58" s="78"/>
      <c r="M58" s="50">
        <v>4</v>
      </c>
      <c r="N58" s="824" t="str">
        <f>VLOOKUP($M58,$M$130:$P$133,2,FALSE)</f>
        <v>Equipe 28</v>
      </c>
      <c r="O58" s="825"/>
      <c r="P58" s="767">
        <f>VLOOKUP($M58,$M$130:$P$133,4,FALSE)</f>
        <v>9.9999999999999995E-8</v>
      </c>
      <c r="Q58" s="922"/>
      <c r="R58" s="123"/>
      <c r="S58" s="50">
        <v>4</v>
      </c>
      <c r="T58" s="680" t="str">
        <f>VLOOKUP($S58,$S$130:$V$133,2,FALSE)</f>
        <v>Equipe 32</v>
      </c>
      <c r="U58" s="680"/>
      <c r="V58" s="681">
        <f>VLOOKUP($S58,$S$130:$V$133,4,FALSE)</f>
        <v>9.9999999999999995E-8</v>
      </c>
      <c r="W58" s="682"/>
    </row>
    <row r="59" spans="1:24" s="2" customFormat="1" ht="15.75" thickBot="1" x14ac:dyDescent="0.3">
      <c r="A59" s="703" t="s">
        <v>34</v>
      </c>
      <c r="B59" s="704"/>
      <c r="C59" s="704"/>
      <c r="D59" s="704"/>
      <c r="E59" s="704"/>
      <c r="F59" s="704"/>
      <c r="G59" s="704"/>
      <c r="H59" s="704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4"/>
      <c r="V59" s="704"/>
      <c r="W59" s="705"/>
    </row>
    <row r="60" spans="1:24" ht="15.75" thickBot="1" x14ac:dyDescent="0.3">
      <c r="A60" s="1087" t="s">
        <v>328</v>
      </c>
      <c r="B60" s="1088"/>
      <c r="C60" s="1088"/>
      <c r="D60" s="1088"/>
      <c r="E60" s="1088"/>
      <c r="F60" s="1088"/>
      <c r="G60" s="1088"/>
      <c r="H60" s="1088"/>
      <c r="I60" s="1088"/>
      <c r="J60" s="1088"/>
      <c r="K60" s="1088"/>
      <c r="L60" s="1088"/>
      <c r="M60" s="1088"/>
      <c r="N60" s="1088"/>
      <c r="O60" s="1088"/>
      <c r="P60" s="1088"/>
      <c r="Q60" s="1088"/>
      <c r="R60" s="1088"/>
      <c r="S60" s="1088"/>
      <c r="T60" s="1088"/>
      <c r="U60" s="1088"/>
      <c r="V60" s="1088"/>
      <c r="W60" s="1089"/>
    </row>
    <row r="61" spans="1:24" ht="14.45" customHeight="1" thickBot="1" x14ac:dyDescent="0.3">
      <c r="A61" s="1093" t="s">
        <v>275</v>
      </c>
      <c r="B61" s="1094"/>
      <c r="C61" s="1094"/>
      <c r="D61" s="1094"/>
      <c r="E61" s="1094"/>
      <c r="F61" s="1094"/>
      <c r="G61" s="1094"/>
      <c r="H61" s="1094"/>
      <c r="I61" s="1094"/>
      <c r="J61" s="1094"/>
      <c r="K61" s="1094"/>
      <c r="L61" s="1094"/>
      <c r="M61" s="1094"/>
      <c r="N61" s="1094"/>
      <c r="O61" s="1094"/>
      <c r="P61" s="1094"/>
      <c r="Q61" s="1094"/>
      <c r="R61" s="1094"/>
      <c r="S61" s="1094"/>
      <c r="T61" s="1094"/>
      <c r="U61" s="1094"/>
      <c r="V61" s="1094"/>
      <c r="W61" s="1095"/>
    </row>
    <row r="62" spans="1:24" ht="21.75" thickBot="1" x14ac:dyDescent="0.4">
      <c r="A62" s="1141" t="s">
        <v>61</v>
      </c>
      <c r="B62" s="1142"/>
      <c r="C62" s="1142"/>
      <c r="D62" s="1142"/>
      <c r="E62" s="1142"/>
      <c r="F62" s="1142"/>
      <c r="G62" s="1142"/>
      <c r="H62" s="1142"/>
      <c r="I62" s="520" t="s">
        <v>18</v>
      </c>
      <c r="J62" s="782">
        <v>8.3333333333333332E-3</v>
      </c>
      <c r="K62" s="782"/>
      <c r="L62" s="782"/>
      <c r="M62" s="527" t="s">
        <v>17</v>
      </c>
      <c r="N62" s="520"/>
      <c r="O62" s="686"/>
      <c r="P62" s="686"/>
      <c r="Q62" s="686"/>
      <c r="R62" s="686"/>
      <c r="S62" s="686"/>
      <c r="T62" s="686"/>
      <c r="U62" s="686"/>
      <c r="V62" s="686"/>
      <c r="W62" s="781"/>
    </row>
    <row r="63" spans="1:24" ht="16.5" thickBot="1" x14ac:dyDescent="0.3">
      <c r="A63" s="780" t="s">
        <v>87</v>
      </c>
      <c r="B63" s="686"/>
      <c r="C63" s="686"/>
      <c r="D63" s="686"/>
      <c r="E63" s="781"/>
      <c r="F63" s="1143"/>
      <c r="G63" s="780" t="s">
        <v>88</v>
      </c>
      <c r="H63" s="686"/>
      <c r="I63" s="686"/>
      <c r="J63" s="686"/>
      <c r="K63" s="781"/>
      <c r="L63" s="1137"/>
      <c r="M63" s="780" t="s">
        <v>250</v>
      </c>
      <c r="N63" s="686"/>
      <c r="O63" s="686"/>
      <c r="P63" s="686"/>
      <c r="Q63" s="781"/>
      <c r="R63" s="1143"/>
      <c r="S63" s="780" t="s">
        <v>251</v>
      </c>
      <c r="T63" s="686"/>
      <c r="U63" s="686"/>
      <c r="V63" s="686"/>
      <c r="W63" s="781"/>
    </row>
    <row r="64" spans="1:24" x14ac:dyDescent="0.25">
      <c r="A64" s="6"/>
      <c r="B64" s="744" t="s">
        <v>41</v>
      </c>
      <c r="C64" s="745"/>
      <c r="D64" s="744" t="s">
        <v>15</v>
      </c>
      <c r="E64" s="746"/>
      <c r="F64" s="1144"/>
      <c r="G64" s="7"/>
      <c r="H64" s="747" t="s">
        <v>42</v>
      </c>
      <c r="I64" s="748"/>
      <c r="J64" s="747" t="s">
        <v>15</v>
      </c>
      <c r="K64" s="749"/>
      <c r="L64" s="1138"/>
      <c r="M64" s="8"/>
      <c r="N64" s="804" t="s">
        <v>43</v>
      </c>
      <c r="O64" s="805"/>
      <c r="P64" s="804" t="s">
        <v>15</v>
      </c>
      <c r="Q64" s="806"/>
      <c r="R64" s="1144"/>
      <c r="S64" s="9"/>
      <c r="T64" s="807" t="s">
        <v>55</v>
      </c>
      <c r="U64" s="808"/>
      <c r="V64" s="807" t="s">
        <v>15</v>
      </c>
      <c r="W64" s="809"/>
    </row>
    <row r="65" spans="1:23" x14ac:dyDescent="0.25">
      <c r="A65" s="10">
        <v>1</v>
      </c>
      <c r="B65" s="905" t="str">
        <f>IF($D$16="","4eme A",B32)</f>
        <v>4eme A</v>
      </c>
      <c r="C65" s="933"/>
      <c r="D65" s="725">
        <f>A164+A168+A172+C159/1000000</f>
        <v>0</v>
      </c>
      <c r="E65" s="726"/>
      <c r="F65" s="1144"/>
      <c r="G65" s="11">
        <v>1</v>
      </c>
      <c r="H65" s="907" t="str">
        <f>IF($D$16="","4eme E",B58)</f>
        <v>4eme E</v>
      </c>
      <c r="I65" s="934"/>
      <c r="J65" s="729">
        <f>G164+G168+G172+I159/1000000</f>
        <v>0</v>
      </c>
      <c r="K65" s="730"/>
      <c r="L65" s="1138"/>
      <c r="M65" s="12">
        <v>1</v>
      </c>
      <c r="N65" s="844" t="str">
        <f>IF($D$16="","3eme A",B31)</f>
        <v>3eme A</v>
      </c>
      <c r="O65" s="845"/>
      <c r="P65" s="802">
        <f>M164+M168+M172+O159/1000000</f>
        <v>0</v>
      </c>
      <c r="Q65" s="803"/>
      <c r="R65" s="1144"/>
      <c r="S65" s="13">
        <v>1</v>
      </c>
      <c r="T65" s="835" t="str">
        <f>IF($D$16="","3eme E",B57)</f>
        <v>3eme E</v>
      </c>
      <c r="U65" s="836"/>
      <c r="V65" s="798">
        <f>S164+S168+S172+U159/1000000</f>
        <v>0</v>
      </c>
      <c r="W65" s="799"/>
    </row>
    <row r="66" spans="1:23" x14ac:dyDescent="0.25">
      <c r="A66" s="10">
        <v>2</v>
      </c>
      <c r="B66" s="905" t="str">
        <f>IF($D$16="","4eme B",H32)</f>
        <v>4eme B</v>
      </c>
      <c r="C66" s="933"/>
      <c r="D66" s="725">
        <f>B164+A169+A173+C160/1000000</f>
        <v>0</v>
      </c>
      <c r="E66" s="726"/>
      <c r="F66" s="1144"/>
      <c r="G66" s="11">
        <v>2</v>
      </c>
      <c r="H66" s="907" t="str">
        <f>IF($D$16="","4eme F",H58)</f>
        <v>4eme F</v>
      </c>
      <c r="I66" s="934"/>
      <c r="J66" s="729">
        <f>H164+G169+G173+I160/1000000</f>
        <v>0</v>
      </c>
      <c r="K66" s="730"/>
      <c r="L66" s="1138"/>
      <c r="M66" s="12">
        <v>2</v>
      </c>
      <c r="N66" s="844" t="str">
        <f>IF($D$16="","3eme B",H31)</f>
        <v>3eme B</v>
      </c>
      <c r="O66" s="845"/>
      <c r="P66" s="802">
        <f>N164+M169+M173+O160/1000000</f>
        <v>0</v>
      </c>
      <c r="Q66" s="803"/>
      <c r="R66" s="1144"/>
      <c r="S66" s="13">
        <v>2</v>
      </c>
      <c r="T66" s="835" t="str">
        <f>IF($D$16="","3eme F",H57)</f>
        <v>3eme F</v>
      </c>
      <c r="U66" s="836"/>
      <c r="V66" s="798">
        <f>T164+S169+S173+U160/1000000</f>
        <v>0</v>
      </c>
      <c r="W66" s="799"/>
    </row>
    <row r="67" spans="1:23" x14ac:dyDescent="0.25">
      <c r="A67" s="10">
        <v>3</v>
      </c>
      <c r="B67" s="905" t="str">
        <f>IF($D$16="","3eme C",N31)</f>
        <v>3eme C</v>
      </c>
      <c r="C67" s="933"/>
      <c r="D67" s="725">
        <f>A165+B168+B173+C161/1000000</f>
        <v>0</v>
      </c>
      <c r="E67" s="726"/>
      <c r="F67" s="1144"/>
      <c r="G67" s="11">
        <v>3</v>
      </c>
      <c r="H67" s="907" t="str">
        <f>IF($D$16="","3eme G",N57)</f>
        <v>3eme G</v>
      </c>
      <c r="I67" s="934"/>
      <c r="J67" s="729">
        <f>G165+H168+H173+I161/1000000</f>
        <v>0</v>
      </c>
      <c r="K67" s="730"/>
      <c r="L67" s="1138"/>
      <c r="M67" s="12">
        <v>3</v>
      </c>
      <c r="N67" s="844" t="str">
        <f>IF($D$16="","4eme C",N32)</f>
        <v>4eme C</v>
      </c>
      <c r="O67" s="845"/>
      <c r="P67" s="802">
        <f>M165+N168+N173+O161/1000000</f>
        <v>0</v>
      </c>
      <c r="Q67" s="803"/>
      <c r="R67" s="1144"/>
      <c r="S67" s="13">
        <v>3</v>
      </c>
      <c r="T67" s="835" t="str">
        <f>IF($D$16="","4eme G",N58)</f>
        <v>4eme G</v>
      </c>
      <c r="U67" s="836"/>
      <c r="V67" s="798">
        <f>S165+T168+T173+U161/1000000</f>
        <v>0</v>
      </c>
      <c r="W67" s="799"/>
    </row>
    <row r="68" spans="1:23" ht="15.75" thickBot="1" x14ac:dyDescent="0.3">
      <c r="A68" s="15">
        <v>4</v>
      </c>
      <c r="B68" s="901" t="str">
        <f>IF($D$16="","3eme D",T31)</f>
        <v>3eme D</v>
      </c>
      <c r="C68" s="939"/>
      <c r="D68" s="719">
        <f>B165+B169+B172+C162/1000000</f>
        <v>0</v>
      </c>
      <c r="E68" s="720"/>
      <c r="F68" s="1144"/>
      <c r="G68" s="16">
        <v>4</v>
      </c>
      <c r="H68" s="903" t="str">
        <f>IF($D$16="","3eme H",T57)</f>
        <v>3eme H</v>
      </c>
      <c r="I68" s="940"/>
      <c r="J68" s="723">
        <f>H165+H169+H172+I162/1000000</f>
        <v>0</v>
      </c>
      <c r="K68" s="724"/>
      <c r="L68" s="1138"/>
      <c r="M68" s="17">
        <v>4</v>
      </c>
      <c r="N68" s="846" t="str">
        <f>IF($D$16="","4eme D",T32)</f>
        <v>4eme D</v>
      </c>
      <c r="O68" s="847"/>
      <c r="P68" s="794">
        <f>N165+N169+N172+O162/1000000</f>
        <v>0</v>
      </c>
      <c r="Q68" s="795"/>
      <c r="R68" s="1144"/>
      <c r="S68" s="18">
        <v>4</v>
      </c>
      <c r="T68" s="837" t="str">
        <f>IF($D$16="","4eme H",T58)</f>
        <v>4eme H</v>
      </c>
      <c r="U68" s="838"/>
      <c r="V68" s="790">
        <f>T165+T169+T172+U162/1000000</f>
        <v>0</v>
      </c>
      <c r="W68" s="791"/>
    </row>
    <row r="69" spans="1:23" ht="5.0999999999999996" customHeight="1" thickBot="1" x14ac:dyDescent="0.3">
      <c r="A69" s="19"/>
      <c r="B69" s="2"/>
      <c r="C69" s="2"/>
      <c r="D69" s="2"/>
      <c r="E69" s="21"/>
      <c r="F69" s="1144"/>
      <c r="G69" s="19"/>
      <c r="H69" s="2"/>
      <c r="I69" s="22"/>
      <c r="J69" s="2"/>
      <c r="K69" s="21"/>
      <c r="L69" s="1138"/>
      <c r="M69" s="19"/>
      <c r="N69" s="2"/>
      <c r="O69" s="2"/>
      <c r="P69" s="2"/>
      <c r="Q69" s="21"/>
      <c r="R69" s="1144"/>
      <c r="S69" s="19"/>
      <c r="T69" s="2"/>
      <c r="U69" s="2"/>
      <c r="V69" s="2"/>
      <c r="W69" s="21"/>
    </row>
    <row r="70" spans="1:23" s="29" customFormat="1" x14ac:dyDescent="0.25">
      <c r="A70" s="24"/>
      <c r="B70" s="713" t="s">
        <v>5</v>
      </c>
      <c r="C70" s="713"/>
      <c r="D70" s="713" t="s">
        <v>16</v>
      </c>
      <c r="E70" s="714"/>
      <c r="F70" s="1144"/>
      <c r="G70" s="26"/>
      <c r="H70" s="715" t="s">
        <v>5</v>
      </c>
      <c r="I70" s="715"/>
      <c r="J70" s="715" t="s">
        <v>16</v>
      </c>
      <c r="K70" s="716"/>
      <c r="L70" s="1138"/>
      <c r="M70" s="27"/>
      <c r="N70" s="786" t="s">
        <v>5</v>
      </c>
      <c r="O70" s="786"/>
      <c r="P70" s="786" t="s">
        <v>16</v>
      </c>
      <c r="Q70" s="787"/>
      <c r="R70" s="1144"/>
      <c r="S70" s="28"/>
      <c r="T70" s="784" t="s">
        <v>5</v>
      </c>
      <c r="U70" s="784"/>
      <c r="V70" s="784" t="s">
        <v>16</v>
      </c>
      <c r="W70" s="785"/>
    </row>
    <row r="71" spans="1:23" x14ac:dyDescent="0.25">
      <c r="A71" s="30">
        <f>G51+J7+L5</f>
        <v>0.45833333333333348</v>
      </c>
      <c r="B71" s="31" t="str">
        <f>B65</f>
        <v>4eme A</v>
      </c>
      <c r="C71" s="31" t="str">
        <f>B66</f>
        <v>4eme B</v>
      </c>
      <c r="D71" s="53"/>
      <c r="E71" s="54"/>
      <c r="F71" s="1144"/>
      <c r="G71" s="32">
        <f>A71</f>
        <v>0.45833333333333348</v>
      </c>
      <c r="H71" s="33" t="str">
        <f>H65</f>
        <v>4eme E</v>
      </c>
      <c r="I71" s="33" t="str">
        <f>H66</f>
        <v>4eme F</v>
      </c>
      <c r="J71" s="57"/>
      <c r="K71" s="58"/>
      <c r="L71" s="1138"/>
      <c r="M71" s="34">
        <f>A71</f>
        <v>0.45833333333333348</v>
      </c>
      <c r="N71" s="35" t="str">
        <f>N65</f>
        <v>3eme A</v>
      </c>
      <c r="O71" s="35" t="str">
        <f>N66</f>
        <v>3eme B</v>
      </c>
      <c r="P71" s="61"/>
      <c r="Q71" s="62"/>
      <c r="R71" s="1144"/>
      <c r="S71" s="36">
        <f>G71</f>
        <v>0.45833333333333348</v>
      </c>
      <c r="T71" s="37" t="str">
        <f>T65</f>
        <v>3eme E</v>
      </c>
      <c r="U71" s="37" t="str">
        <f>T66</f>
        <v>3eme F</v>
      </c>
      <c r="V71" s="65"/>
      <c r="W71" s="66"/>
    </row>
    <row r="72" spans="1:23" ht="15.75" thickBot="1" x14ac:dyDescent="0.3">
      <c r="A72" s="38">
        <f>A71+$J$62+R5</f>
        <v>0.46875000000000017</v>
      </c>
      <c r="B72" s="39" t="str">
        <f>B67</f>
        <v>3eme C</v>
      </c>
      <c r="C72" s="39" t="str">
        <f>B68</f>
        <v>3eme D</v>
      </c>
      <c r="D72" s="55"/>
      <c r="E72" s="56"/>
      <c r="F72" s="1144"/>
      <c r="G72" s="40">
        <f>G71+$J$62+R5</f>
        <v>0.46875000000000017</v>
      </c>
      <c r="H72" s="41" t="str">
        <f>H67</f>
        <v>3eme G</v>
      </c>
      <c r="I72" s="41" t="str">
        <f>H68</f>
        <v>3eme H</v>
      </c>
      <c r="J72" s="59"/>
      <c r="K72" s="60"/>
      <c r="L72" s="1138"/>
      <c r="M72" s="42">
        <f>A72</f>
        <v>0.46875000000000017</v>
      </c>
      <c r="N72" s="43" t="str">
        <f>N67</f>
        <v>4eme C</v>
      </c>
      <c r="O72" s="43" t="str">
        <f>N68</f>
        <v>4eme D</v>
      </c>
      <c r="P72" s="63"/>
      <c r="Q72" s="64"/>
      <c r="R72" s="1144"/>
      <c r="S72" s="44">
        <f>G72</f>
        <v>0.46875000000000017</v>
      </c>
      <c r="T72" s="45" t="str">
        <f>T67</f>
        <v>4eme G</v>
      </c>
      <c r="U72" s="45" t="str">
        <f>T68</f>
        <v>4eme H</v>
      </c>
      <c r="V72" s="67"/>
      <c r="W72" s="68"/>
    </row>
    <row r="73" spans="1:23" ht="5.0999999999999996" customHeight="1" thickBot="1" x14ac:dyDescent="0.3">
      <c r="A73" s="19"/>
      <c r="B73" s="2"/>
      <c r="C73" s="2"/>
      <c r="D73" s="521"/>
      <c r="E73" s="522"/>
      <c r="F73" s="1144"/>
      <c r="G73" s="19"/>
      <c r="H73" s="2"/>
      <c r="I73" s="47"/>
      <c r="J73" s="521"/>
      <c r="K73" s="522"/>
      <c r="L73" s="1138"/>
      <c r="M73" s="19"/>
      <c r="N73" s="2"/>
      <c r="O73" s="2"/>
      <c r="P73" s="521"/>
      <c r="Q73" s="522"/>
      <c r="R73" s="1144"/>
      <c r="S73" s="19"/>
      <c r="T73" s="2"/>
      <c r="U73" s="2"/>
      <c r="V73" s="521"/>
      <c r="W73" s="522"/>
    </row>
    <row r="74" spans="1:23" s="29" customFormat="1" x14ac:dyDescent="0.25">
      <c r="A74" s="24"/>
      <c r="B74" s="713" t="s">
        <v>6</v>
      </c>
      <c r="C74" s="713"/>
      <c r="D74" s="713" t="s">
        <v>16</v>
      </c>
      <c r="E74" s="714"/>
      <c r="F74" s="1144"/>
      <c r="G74" s="26"/>
      <c r="H74" s="715" t="s">
        <v>6</v>
      </c>
      <c r="I74" s="715"/>
      <c r="J74" s="715" t="s">
        <v>16</v>
      </c>
      <c r="K74" s="716"/>
      <c r="L74" s="1138"/>
      <c r="M74" s="27"/>
      <c r="N74" s="786" t="s">
        <v>6</v>
      </c>
      <c r="O74" s="786"/>
      <c r="P74" s="786" t="s">
        <v>16</v>
      </c>
      <c r="Q74" s="787"/>
      <c r="R74" s="1144"/>
      <c r="S74" s="28"/>
      <c r="T74" s="784" t="s">
        <v>6</v>
      </c>
      <c r="U74" s="784"/>
      <c r="V74" s="784" t="s">
        <v>16</v>
      </c>
      <c r="W74" s="785"/>
    </row>
    <row r="75" spans="1:23" x14ac:dyDescent="0.25">
      <c r="A75" s="30">
        <f>G72+$J$62+R5</f>
        <v>0.47916666666666685</v>
      </c>
      <c r="B75" s="31" t="str">
        <f>B65</f>
        <v>4eme A</v>
      </c>
      <c r="C75" s="31" t="str">
        <f>B67</f>
        <v>3eme C</v>
      </c>
      <c r="D75" s="53"/>
      <c r="E75" s="54"/>
      <c r="F75" s="1144"/>
      <c r="G75" s="32">
        <f>A75</f>
        <v>0.47916666666666685</v>
      </c>
      <c r="H75" s="33" t="str">
        <f>H65</f>
        <v>4eme E</v>
      </c>
      <c r="I75" s="33" t="str">
        <f>H67</f>
        <v>3eme G</v>
      </c>
      <c r="J75" s="57"/>
      <c r="K75" s="58"/>
      <c r="L75" s="1138"/>
      <c r="M75" s="34">
        <f>A75</f>
        <v>0.47916666666666685</v>
      </c>
      <c r="N75" s="35" t="str">
        <f>N65</f>
        <v>3eme A</v>
      </c>
      <c r="O75" s="35" t="str">
        <f>N67</f>
        <v>4eme C</v>
      </c>
      <c r="P75" s="61"/>
      <c r="Q75" s="62"/>
      <c r="R75" s="1144"/>
      <c r="S75" s="36">
        <f>G75</f>
        <v>0.47916666666666685</v>
      </c>
      <c r="T75" s="37" t="str">
        <f>T65</f>
        <v>3eme E</v>
      </c>
      <c r="U75" s="37" t="str">
        <f>T67</f>
        <v>4eme G</v>
      </c>
      <c r="V75" s="65"/>
      <c r="W75" s="66"/>
    </row>
    <row r="76" spans="1:23" ht="15.75" thickBot="1" x14ac:dyDescent="0.3">
      <c r="A76" s="38">
        <f>A75+$J$62+R5</f>
        <v>0.48958333333333354</v>
      </c>
      <c r="B76" s="39" t="str">
        <f>B66</f>
        <v>4eme B</v>
      </c>
      <c r="C76" s="39" t="str">
        <f>B68</f>
        <v>3eme D</v>
      </c>
      <c r="D76" s="55"/>
      <c r="E76" s="56"/>
      <c r="F76" s="1144"/>
      <c r="G76" s="40">
        <f>G75+$J$62+R5</f>
        <v>0.48958333333333354</v>
      </c>
      <c r="H76" s="41" t="str">
        <f>H66</f>
        <v>4eme F</v>
      </c>
      <c r="I76" s="41" t="str">
        <f>H68</f>
        <v>3eme H</v>
      </c>
      <c r="J76" s="59"/>
      <c r="K76" s="60"/>
      <c r="L76" s="1138"/>
      <c r="M76" s="42">
        <f>A76</f>
        <v>0.48958333333333354</v>
      </c>
      <c r="N76" s="43" t="str">
        <f>N66</f>
        <v>3eme B</v>
      </c>
      <c r="O76" s="43" t="str">
        <f>N68</f>
        <v>4eme D</v>
      </c>
      <c r="P76" s="63"/>
      <c r="Q76" s="64"/>
      <c r="R76" s="1144"/>
      <c r="S76" s="44">
        <f>G76</f>
        <v>0.48958333333333354</v>
      </c>
      <c r="T76" s="45" t="str">
        <f>T66</f>
        <v>3eme F</v>
      </c>
      <c r="U76" s="45" t="str">
        <f>T68</f>
        <v>4eme H</v>
      </c>
      <c r="V76" s="67"/>
      <c r="W76" s="68"/>
    </row>
    <row r="77" spans="1:23" ht="5.0999999999999996" customHeight="1" thickBot="1" x14ac:dyDescent="0.3">
      <c r="A77" s="19"/>
      <c r="B77" s="2"/>
      <c r="C77" s="2"/>
      <c r="D77" s="521"/>
      <c r="E77" s="522"/>
      <c r="F77" s="1144"/>
      <c r="G77" s="19"/>
      <c r="H77" s="2"/>
      <c r="I77" s="47"/>
      <c r="J77" s="521"/>
      <c r="K77" s="522"/>
      <c r="L77" s="1138"/>
      <c r="M77" s="19"/>
      <c r="N77" s="2"/>
      <c r="O77" s="2"/>
      <c r="P77" s="521"/>
      <c r="Q77" s="522"/>
      <c r="R77" s="1144"/>
      <c r="S77" s="19"/>
      <c r="T77" s="2"/>
      <c r="U77" s="2"/>
      <c r="V77" s="521"/>
      <c r="W77" s="522"/>
    </row>
    <row r="78" spans="1:23" s="29" customFormat="1" x14ac:dyDescent="0.25">
      <c r="A78" s="24"/>
      <c r="B78" s="713" t="s">
        <v>7</v>
      </c>
      <c r="C78" s="713"/>
      <c r="D78" s="713" t="s">
        <v>16</v>
      </c>
      <c r="E78" s="714"/>
      <c r="F78" s="1144"/>
      <c r="G78" s="26"/>
      <c r="H78" s="715" t="s">
        <v>7</v>
      </c>
      <c r="I78" s="715"/>
      <c r="J78" s="715" t="s">
        <v>16</v>
      </c>
      <c r="K78" s="716"/>
      <c r="L78" s="1138"/>
      <c r="M78" s="27"/>
      <c r="N78" s="786" t="s">
        <v>7</v>
      </c>
      <c r="O78" s="786"/>
      <c r="P78" s="786" t="s">
        <v>16</v>
      </c>
      <c r="Q78" s="787"/>
      <c r="R78" s="1144"/>
      <c r="S78" s="28"/>
      <c r="T78" s="784" t="s">
        <v>7</v>
      </c>
      <c r="U78" s="784"/>
      <c r="V78" s="784" t="s">
        <v>16</v>
      </c>
      <c r="W78" s="785"/>
    </row>
    <row r="79" spans="1:23" x14ac:dyDescent="0.25">
      <c r="A79" s="30">
        <f>G76+$J$62+R5</f>
        <v>0.50000000000000022</v>
      </c>
      <c r="B79" s="31" t="str">
        <f>B65</f>
        <v>4eme A</v>
      </c>
      <c r="C79" s="31" t="str">
        <f>B68</f>
        <v>3eme D</v>
      </c>
      <c r="D79" s="53"/>
      <c r="E79" s="54"/>
      <c r="F79" s="1144"/>
      <c r="G79" s="32">
        <f>A79</f>
        <v>0.50000000000000022</v>
      </c>
      <c r="H79" s="33" t="str">
        <f>H65</f>
        <v>4eme E</v>
      </c>
      <c r="I79" s="33" t="str">
        <f>H68</f>
        <v>3eme H</v>
      </c>
      <c r="J79" s="57"/>
      <c r="K79" s="58"/>
      <c r="L79" s="1138"/>
      <c r="M79" s="34">
        <f>A79</f>
        <v>0.50000000000000022</v>
      </c>
      <c r="N79" s="35" t="str">
        <f>N65</f>
        <v>3eme A</v>
      </c>
      <c r="O79" s="35" t="str">
        <f>N68</f>
        <v>4eme D</v>
      </c>
      <c r="P79" s="61"/>
      <c r="Q79" s="62"/>
      <c r="R79" s="1144"/>
      <c r="S79" s="36">
        <f>G79</f>
        <v>0.50000000000000022</v>
      </c>
      <c r="T79" s="37" t="str">
        <f>T65</f>
        <v>3eme E</v>
      </c>
      <c r="U79" s="37" t="str">
        <f>T68</f>
        <v>4eme H</v>
      </c>
      <c r="V79" s="65"/>
      <c r="W79" s="66"/>
    </row>
    <row r="80" spans="1:23" ht="15.75" thickBot="1" x14ac:dyDescent="0.3">
      <c r="A80" s="38">
        <f>A79+$J$62+R5</f>
        <v>0.51041666666666685</v>
      </c>
      <c r="B80" s="39" t="str">
        <f>B66</f>
        <v>4eme B</v>
      </c>
      <c r="C80" s="39" t="str">
        <f>B67</f>
        <v>3eme C</v>
      </c>
      <c r="D80" s="55"/>
      <c r="E80" s="56"/>
      <c r="F80" s="1144"/>
      <c r="G80" s="40">
        <f>G79+$J$62+R5</f>
        <v>0.51041666666666685</v>
      </c>
      <c r="H80" s="41" t="str">
        <f>H66</f>
        <v>4eme F</v>
      </c>
      <c r="I80" s="41" t="str">
        <f>H67</f>
        <v>3eme G</v>
      </c>
      <c r="J80" s="59"/>
      <c r="K80" s="60"/>
      <c r="L80" s="1138"/>
      <c r="M80" s="42">
        <f>A80</f>
        <v>0.51041666666666685</v>
      </c>
      <c r="N80" s="43" t="str">
        <f>N66</f>
        <v>3eme B</v>
      </c>
      <c r="O80" s="43" t="str">
        <f>N67</f>
        <v>4eme C</v>
      </c>
      <c r="P80" s="63"/>
      <c r="Q80" s="64"/>
      <c r="R80" s="1144"/>
      <c r="S80" s="44">
        <f>G80</f>
        <v>0.51041666666666685</v>
      </c>
      <c r="T80" s="45" t="str">
        <f>T66</f>
        <v>3eme F</v>
      </c>
      <c r="U80" s="45" t="str">
        <f>T67</f>
        <v>4eme G</v>
      </c>
      <c r="V80" s="67"/>
      <c r="W80" s="68"/>
    </row>
    <row r="81" spans="1:24" ht="16.5" thickBot="1" x14ac:dyDescent="0.3">
      <c r="A81" s="1151"/>
      <c r="B81" s="1152"/>
      <c r="C81" s="1152"/>
      <c r="D81" s="1152"/>
      <c r="E81" s="1152"/>
      <c r="F81" s="1153"/>
      <c r="G81" s="1152"/>
      <c r="H81" s="1152"/>
      <c r="I81" s="1152"/>
      <c r="J81" s="1152"/>
      <c r="K81" s="1152"/>
      <c r="L81" s="576"/>
      <c r="M81" s="1152"/>
      <c r="N81" s="1152"/>
      <c r="O81" s="1152"/>
      <c r="P81" s="1152"/>
      <c r="Q81" s="1152"/>
      <c r="R81" s="1153"/>
      <c r="S81" s="1152"/>
      <c r="T81" s="1152"/>
      <c r="U81" s="1152"/>
      <c r="V81" s="1152"/>
      <c r="W81" s="1154"/>
    </row>
    <row r="82" spans="1:24" ht="16.5" thickBot="1" x14ac:dyDescent="0.3">
      <c r="A82" s="780" t="s">
        <v>323</v>
      </c>
      <c r="B82" s="686"/>
      <c r="C82" s="686"/>
      <c r="D82" s="686"/>
      <c r="E82" s="781"/>
      <c r="F82" s="1144"/>
      <c r="G82" s="780" t="s">
        <v>324</v>
      </c>
      <c r="H82" s="686"/>
      <c r="I82" s="686"/>
      <c r="J82" s="686"/>
      <c r="K82" s="781"/>
      <c r="L82" s="1138"/>
      <c r="M82" s="780" t="s">
        <v>325</v>
      </c>
      <c r="N82" s="686"/>
      <c r="O82" s="686"/>
      <c r="P82" s="686"/>
      <c r="Q82" s="781"/>
      <c r="R82" s="1144"/>
      <c r="S82" s="780" t="s">
        <v>326</v>
      </c>
      <c r="T82" s="686"/>
      <c r="U82" s="686"/>
      <c r="V82" s="686"/>
      <c r="W82" s="781"/>
    </row>
    <row r="83" spans="1:24" x14ac:dyDescent="0.25">
      <c r="A83" s="9"/>
      <c r="B83" s="807" t="s">
        <v>91</v>
      </c>
      <c r="C83" s="808"/>
      <c r="D83" s="807" t="s">
        <v>15</v>
      </c>
      <c r="E83" s="809"/>
      <c r="F83" s="1144"/>
      <c r="G83" s="8"/>
      <c r="H83" s="804" t="s">
        <v>92</v>
      </c>
      <c r="I83" s="805"/>
      <c r="J83" s="804" t="s">
        <v>15</v>
      </c>
      <c r="K83" s="806"/>
      <c r="L83" s="1138"/>
      <c r="M83" s="7"/>
      <c r="N83" s="747" t="s">
        <v>264</v>
      </c>
      <c r="O83" s="748"/>
      <c r="P83" s="747" t="s">
        <v>15</v>
      </c>
      <c r="Q83" s="749"/>
      <c r="R83" s="1144"/>
      <c r="S83" s="6"/>
      <c r="T83" s="744" t="s">
        <v>327</v>
      </c>
      <c r="U83" s="745"/>
      <c r="V83" s="744" t="s">
        <v>15</v>
      </c>
      <c r="W83" s="746"/>
    </row>
    <row r="84" spans="1:24" ht="16.350000000000001" customHeight="1" x14ac:dyDescent="0.25">
      <c r="A84" s="13">
        <v>1</v>
      </c>
      <c r="B84" s="835" t="str">
        <f>IF($D$16="","2eme A",B30)</f>
        <v>2eme A</v>
      </c>
      <c r="C84" s="836"/>
      <c r="D84" s="798">
        <f>A190+A194+A198+C185/1000000</f>
        <v>0</v>
      </c>
      <c r="E84" s="799"/>
      <c r="F84" s="1144"/>
      <c r="G84" s="12">
        <v>1</v>
      </c>
      <c r="H84" s="844" t="str">
        <f>IF($D$16="","2eme E",B56)</f>
        <v>2eme E</v>
      </c>
      <c r="I84" s="845"/>
      <c r="J84" s="802">
        <f>G190+G194+G198+I185/1000000</f>
        <v>0</v>
      </c>
      <c r="K84" s="803"/>
      <c r="L84" s="1138"/>
      <c r="M84" s="11">
        <v>1</v>
      </c>
      <c r="N84" s="907" t="str">
        <f>IF($D$16="","1er A",B29)</f>
        <v>1er A</v>
      </c>
      <c r="O84" s="934"/>
      <c r="P84" s="729">
        <f>M190+M194+M198+O185/1000000</f>
        <v>0</v>
      </c>
      <c r="Q84" s="730"/>
      <c r="R84" s="1144"/>
      <c r="S84" s="10">
        <v>1</v>
      </c>
      <c r="T84" s="905" t="str">
        <f>IF($D$16="","1er E",B55)</f>
        <v>1er E</v>
      </c>
      <c r="U84" s="933"/>
      <c r="V84" s="725">
        <f>S190+S194+S198+U185/1000000</f>
        <v>0</v>
      </c>
      <c r="W84" s="726"/>
      <c r="X84" s="74"/>
    </row>
    <row r="85" spans="1:24" ht="16.350000000000001" customHeight="1" x14ac:dyDescent="0.25">
      <c r="A85" s="13">
        <v>2</v>
      </c>
      <c r="B85" s="835" t="str">
        <f>IF($D$16="","2eme B",H30)</f>
        <v>2eme B</v>
      </c>
      <c r="C85" s="836"/>
      <c r="D85" s="798">
        <f>B190+A195+A199+C186/1000000</f>
        <v>0</v>
      </c>
      <c r="E85" s="799"/>
      <c r="F85" s="1144"/>
      <c r="G85" s="12">
        <v>2</v>
      </c>
      <c r="H85" s="844" t="str">
        <f>IF($D$16="","2eme F",H56)</f>
        <v>2eme F</v>
      </c>
      <c r="I85" s="845"/>
      <c r="J85" s="802">
        <f>H190+G195+G199+I186/1000000</f>
        <v>0</v>
      </c>
      <c r="K85" s="803"/>
      <c r="L85" s="1138"/>
      <c r="M85" s="11">
        <v>2</v>
      </c>
      <c r="N85" s="907" t="str">
        <f>IF($D$16="","1er B",H29)</f>
        <v>1er B</v>
      </c>
      <c r="O85" s="934"/>
      <c r="P85" s="729">
        <f>N190+M195+M199+O186/1000000</f>
        <v>0</v>
      </c>
      <c r="Q85" s="730"/>
      <c r="R85" s="1144"/>
      <c r="S85" s="10">
        <v>2</v>
      </c>
      <c r="T85" s="905" t="str">
        <f>IF($D$16="","1er F",H55)</f>
        <v>1er F</v>
      </c>
      <c r="U85" s="933"/>
      <c r="V85" s="725">
        <f>T190+S195+S199+U186/1000000</f>
        <v>0</v>
      </c>
      <c r="W85" s="726"/>
      <c r="X85" s="74"/>
    </row>
    <row r="86" spans="1:24" ht="16.350000000000001" customHeight="1" x14ac:dyDescent="0.25">
      <c r="A86" s="13">
        <v>3</v>
      </c>
      <c r="B86" s="835" t="str">
        <f>IF($D$16="","1er C",N29)</f>
        <v>1er C</v>
      </c>
      <c r="C86" s="836"/>
      <c r="D86" s="798">
        <f>A191+B194+B199+C187/1000000</f>
        <v>0</v>
      </c>
      <c r="E86" s="799"/>
      <c r="F86" s="1144"/>
      <c r="G86" s="12">
        <v>3</v>
      </c>
      <c r="H86" s="844" t="str">
        <f>IF($D$16="","1er G",N55)</f>
        <v>1er G</v>
      </c>
      <c r="I86" s="845"/>
      <c r="J86" s="802">
        <f>G191+H194+H199+I187/1000000</f>
        <v>0</v>
      </c>
      <c r="K86" s="803"/>
      <c r="L86" s="1138"/>
      <c r="M86" s="11">
        <v>3</v>
      </c>
      <c r="N86" s="907" t="str">
        <f>IF($D$16="","2eme C",N30)</f>
        <v>2eme C</v>
      </c>
      <c r="O86" s="934"/>
      <c r="P86" s="729">
        <f>M191+N194+N199+O187/1000000</f>
        <v>0</v>
      </c>
      <c r="Q86" s="730"/>
      <c r="R86" s="1144"/>
      <c r="S86" s="10">
        <v>3</v>
      </c>
      <c r="T86" s="905" t="str">
        <f>IF($D$16="","2eme G",N56)</f>
        <v>2eme G</v>
      </c>
      <c r="U86" s="933"/>
      <c r="V86" s="725">
        <f>S191+T194+T199+U187/1000000</f>
        <v>0</v>
      </c>
      <c r="W86" s="726"/>
    </row>
    <row r="87" spans="1:24" ht="16.350000000000001" customHeight="1" thickBot="1" x14ac:dyDescent="0.3">
      <c r="A87" s="18">
        <v>4</v>
      </c>
      <c r="B87" s="837" t="str">
        <f>IF($D$16="","1er D",T29)</f>
        <v>1er D</v>
      </c>
      <c r="C87" s="838"/>
      <c r="D87" s="790">
        <f>B191+B195+B198+C188/1000000</f>
        <v>0</v>
      </c>
      <c r="E87" s="791"/>
      <c r="F87" s="1144"/>
      <c r="G87" s="17">
        <v>4</v>
      </c>
      <c r="H87" s="846" t="str">
        <f>IF($D$16="","1er H",T55)</f>
        <v>1er H</v>
      </c>
      <c r="I87" s="847"/>
      <c r="J87" s="794">
        <f>H191+H195+H198+I188/1000000</f>
        <v>0</v>
      </c>
      <c r="K87" s="795"/>
      <c r="L87" s="1138"/>
      <c r="M87" s="16">
        <v>4</v>
      </c>
      <c r="N87" s="903" t="str">
        <f>IF($D$16="","2eme D",T30)</f>
        <v>2eme D</v>
      </c>
      <c r="O87" s="940"/>
      <c r="P87" s="723">
        <f>N191+N195+N198+O188/1000000</f>
        <v>0</v>
      </c>
      <c r="Q87" s="724"/>
      <c r="R87" s="1144"/>
      <c r="S87" s="15">
        <v>4</v>
      </c>
      <c r="T87" s="901" t="str">
        <f>IF($D$16="","2eme H",T56)</f>
        <v>2eme H</v>
      </c>
      <c r="U87" s="939"/>
      <c r="V87" s="719">
        <f>T191+T195+T198+U188/1000000</f>
        <v>0</v>
      </c>
      <c r="W87" s="720"/>
    </row>
    <row r="88" spans="1:24" ht="5.0999999999999996" customHeight="1" thickBot="1" x14ac:dyDescent="0.3">
      <c r="A88" s="19"/>
      <c r="B88" s="2"/>
      <c r="C88" s="2"/>
      <c r="D88" s="2"/>
      <c r="E88" s="21"/>
      <c r="F88" s="1144"/>
      <c r="G88" s="19"/>
      <c r="H88" s="2"/>
      <c r="I88" s="22"/>
      <c r="J88" s="2"/>
      <c r="K88" s="21"/>
      <c r="L88" s="1138"/>
      <c r="M88" s="19"/>
      <c r="N88" s="2"/>
      <c r="O88" s="2"/>
      <c r="P88" s="2"/>
      <c r="Q88" s="21"/>
      <c r="R88" s="1144"/>
      <c r="S88" s="19"/>
      <c r="T88" s="2"/>
      <c r="U88" s="2"/>
      <c r="V88" s="2"/>
      <c r="W88" s="21"/>
    </row>
    <row r="89" spans="1:24" x14ac:dyDescent="0.25">
      <c r="A89" s="28"/>
      <c r="B89" s="784" t="s">
        <v>5</v>
      </c>
      <c r="C89" s="784"/>
      <c r="D89" s="784" t="s">
        <v>16</v>
      </c>
      <c r="E89" s="785"/>
      <c r="F89" s="1144"/>
      <c r="G89" s="27"/>
      <c r="H89" s="786" t="s">
        <v>5</v>
      </c>
      <c r="I89" s="786"/>
      <c r="J89" s="786" t="s">
        <v>16</v>
      </c>
      <c r="K89" s="787"/>
      <c r="L89" s="1138"/>
      <c r="M89" s="26"/>
      <c r="N89" s="715" t="s">
        <v>5</v>
      </c>
      <c r="O89" s="715"/>
      <c r="P89" s="715" t="s">
        <v>16</v>
      </c>
      <c r="Q89" s="716"/>
      <c r="R89" s="1144"/>
      <c r="S89" s="24"/>
      <c r="T89" s="713" t="s">
        <v>5</v>
      </c>
      <c r="U89" s="713"/>
      <c r="V89" s="713" t="s">
        <v>16</v>
      </c>
      <c r="W89" s="714"/>
    </row>
    <row r="90" spans="1:24" ht="14.45" customHeight="1" x14ac:dyDescent="0.25">
      <c r="A90" s="36">
        <f>A71</f>
        <v>0.45833333333333348</v>
      </c>
      <c r="B90" s="37" t="str">
        <f>B84</f>
        <v>2eme A</v>
      </c>
      <c r="C90" s="37" t="str">
        <f>B85</f>
        <v>2eme B</v>
      </c>
      <c r="D90" s="65"/>
      <c r="E90" s="66"/>
      <c r="F90" s="1144"/>
      <c r="G90" s="34">
        <f>A90</f>
        <v>0.45833333333333348</v>
      </c>
      <c r="H90" s="35" t="str">
        <f>H84</f>
        <v>2eme E</v>
      </c>
      <c r="I90" s="35" t="str">
        <f>H85</f>
        <v>2eme F</v>
      </c>
      <c r="J90" s="61"/>
      <c r="K90" s="62"/>
      <c r="L90" s="1138"/>
      <c r="M90" s="32">
        <f>A90</f>
        <v>0.45833333333333348</v>
      </c>
      <c r="N90" s="33" t="str">
        <f>N84</f>
        <v>1er A</v>
      </c>
      <c r="O90" s="33" t="str">
        <f>N85</f>
        <v>1er B</v>
      </c>
      <c r="P90" s="57"/>
      <c r="Q90" s="58"/>
      <c r="R90" s="1144"/>
      <c r="S90" s="30">
        <f>G90</f>
        <v>0.45833333333333348</v>
      </c>
      <c r="T90" s="31" t="str">
        <f>T84</f>
        <v>1er E</v>
      </c>
      <c r="U90" s="31" t="str">
        <f>T85</f>
        <v>1er F</v>
      </c>
      <c r="V90" s="53"/>
      <c r="W90" s="54"/>
    </row>
    <row r="91" spans="1:24" ht="14.45" customHeight="1" thickBot="1" x14ac:dyDescent="0.3">
      <c r="A91" s="44">
        <f>A90+$J$62+R5</f>
        <v>0.46875000000000017</v>
      </c>
      <c r="B91" s="45" t="str">
        <f>B86</f>
        <v>1er C</v>
      </c>
      <c r="C91" s="45" t="str">
        <f>B87</f>
        <v>1er D</v>
      </c>
      <c r="D91" s="67"/>
      <c r="E91" s="68"/>
      <c r="F91" s="1144"/>
      <c r="G91" s="42">
        <f>G90+$J$62+R5</f>
        <v>0.46875000000000017</v>
      </c>
      <c r="H91" s="43" t="str">
        <f>H86</f>
        <v>1er G</v>
      </c>
      <c r="I91" s="43" t="str">
        <f>H87</f>
        <v>1er H</v>
      </c>
      <c r="J91" s="63"/>
      <c r="K91" s="64"/>
      <c r="L91" s="1138"/>
      <c r="M91" s="40">
        <f>A91</f>
        <v>0.46875000000000017</v>
      </c>
      <c r="N91" s="41" t="str">
        <f>N86</f>
        <v>2eme C</v>
      </c>
      <c r="O91" s="41" t="str">
        <f>N87</f>
        <v>2eme D</v>
      </c>
      <c r="P91" s="59"/>
      <c r="Q91" s="60"/>
      <c r="R91" s="1144"/>
      <c r="S91" s="38">
        <f>G91</f>
        <v>0.46875000000000017</v>
      </c>
      <c r="T91" s="39" t="str">
        <f>T86</f>
        <v>2eme G</v>
      </c>
      <c r="U91" s="39" t="str">
        <f>T87</f>
        <v>2eme H</v>
      </c>
      <c r="V91" s="55"/>
      <c r="W91" s="56"/>
    </row>
    <row r="92" spans="1:24" ht="5.0999999999999996" customHeight="1" thickBot="1" x14ac:dyDescent="0.3">
      <c r="A92" s="19"/>
      <c r="B92" s="2"/>
      <c r="C92" s="2"/>
      <c r="D92" s="521"/>
      <c r="E92" s="522"/>
      <c r="F92" s="1144"/>
      <c r="G92" s="19"/>
      <c r="H92" s="2"/>
      <c r="I92" s="47"/>
      <c r="J92" s="521"/>
      <c r="K92" s="522"/>
      <c r="L92" s="1138"/>
      <c r="M92" s="19"/>
      <c r="N92" s="2"/>
      <c r="O92" s="2"/>
      <c r="P92" s="521"/>
      <c r="Q92" s="522"/>
      <c r="R92" s="1144"/>
      <c r="S92" s="571"/>
      <c r="T92" s="566"/>
      <c r="U92" s="566"/>
      <c r="V92" s="521"/>
      <c r="W92" s="522"/>
    </row>
    <row r="93" spans="1:24" x14ac:dyDescent="0.25">
      <c r="A93" s="28"/>
      <c r="B93" s="784" t="s">
        <v>6</v>
      </c>
      <c r="C93" s="784"/>
      <c r="D93" s="784" t="s">
        <v>16</v>
      </c>
      <c r="E93" s="785"/>
      <c r="F93" s="1144"/>
      <c r="G93" s="27"/>
      <c r="H93" s="786" t="s">
        <v>6</v>
      </c>
      <c r="I93" s="786"/>
      <c r="J93" s="786" t="s">
        <v>16</v>
      </c>
      <c r="K93" s="787"/>
      <c r="L93" s="1138"/>
      <c r="M93" s="26"/>
      <c r="N93" s="715" t="s">
        <v>6</v>
      </c>
      <c r="O93" s="715"/>
      <c r="P93" s="715" t="s">
        <v>16</v>
      </c>
      <c r="Q93" s="716"/>
      <c r="R93" s="1144"/>
      <c r="S93" s="24"/>
      <c r="T93" s="713" t="s">
        <v>6</v>
      </c>
      <c r="U93" s="713"/>
      <c r="V93" s="713" t="s">
        <v>16</v>
      </c>
      <c r="W93" s="714"/>
    </row>
    <row r="94" spans="1:24" ht="14.45" customHeight="1" x14ac:dyDescent="0.25">
      <c r="A94" s="36">
        <f>G91+$J$62+R5</f>
        <v>0.47916666666666685</v>
      </c>
      <c r="B94" s="37" t="str">
        <f>B84</f>
        <v>2eme A</v>
      </c>
      <c r="C94" s="37" t="str">
        <f>B86</f>
        <v>1er C</v>
      </c>
      <c r="D94" s="65"/>
      <c r="E94" s="66"/>
      <c r="F94" s="1144"/>
      <c r="G94" s="34">
        <f>A94</f>
        <v>0.47916666666666685</v>
      </c>
      <c r="H94" s="35" t="str">
        <f>H84</f>
        <v>2eme E</v>
      </c>
      <c r="I94" s="35" t="str">
        <f>H86</f>
        <v>1er G</v>
      </c>
      <c r="J94" s="61"/>
      <c r="K94" s="62"/>
      <c r="L94" s="1138"/>
      <c r="M94" s="32">
        <f>A94</f>
        <v>0.47916666666666685</v>
      </c>
      <c r="N94" s="33" t="str">
        <f>N84</f>
        <v>1er A</v>
      </c>
      <c r="O94" s="33" t="str">
        <f>N86</f>
        <v>2eme C</v>
      </c>
      <c r="P94" s="57"/>
      <c r="Q94" s="58"/>
      <c r="R94" s="1144"/>
      <c r="S94" s="30">
        <f>G94</f>
        <v>0.47916666666666685</v>
      </c>
      <c r="T94" s="31" t="str">
        <f>T84</f>
        <v>1er E</v>
      </c>
      <c r="U94" s="31" t="str">
        <f>T86</f>
        <v>2eme G</v>
      </c>
      <c r="V94" s="53"/>
      <c r="W94" s="54"/>
    </row>
    <row r="95" spans="1:24" ht="14.45" customHeight="1" thickBot="1" x14ac:dyDescent="0.3">
      <c r="A95" s="44">
        <f>A94+$J$62+R5</f>
        <v>0.48958333333333354</v>
      </c>
      <c r="B95" s="45" t="str">
        <f>B85</f>
        <v>2eme B</v>
      </c>
      <c r="C95" s="45" t="str">
        <f>B87</f>
        <v>1er D</v>
      </c>
      <c r="D95" s="67"/>
      <c r="E95" s="68"/>
      <c r="F95" s="1144"/>
      <c r="G95" s="42">
        <f>G94+$J$62+R5</f>
        <v>0.48958333333333354</v>
      </c>
      <c r="H95" s="43" t="str">
        <f>H85</f>
        <v>2eme F</v>
      </c>
      <c r="I95" s="43" t="str">
        <f>H87</f>
        <v>1er H</v>
      </c>
      <c r="J95" s="63"/>
      <c r="K95" s="64"/>
      <c r="L95" s="1138"/>
      <c r="M95" s="40">
        <f>A95</f>
        <v>0.48958333333333354</v>
      </c>
      <c r="N95" s="41" t="str">
        <f>N85</f>
        <v>1er B</v>
      </c>
      <c r="O95" s="41" t="str">
        <f>N87</f>
        <v>2eme D</v>
      </c>
      <c r="P95" s="59"/>
      <c r="Q95" s="60"/>
      <c r="R95" s="1144"/>
      <c r="S95" s="38">
        <f>G95</f>
        <v>0.48958333333333354</v>
      </c>
      <c r="T95" s="39" t="str">
        <f>T85</f>
        <v>1er F</v>
      </c>
      <c r="U95" s="39" t="str">
        <f>T87</f>
        <v>2eme H</v>
      </c>
      <c r="V95" s="55"/>
      <c r="W95" s="56"/>
    </row>
    <row r="96" spans="1:24" ht="5.0999999999999996" customHeight="1" thickBot="1" x14ac:dyDescent="0.3">
      <c r="A96" s="19"/>
      <c r="B96" s="2"/>
      <c r="C96" s="2"/>
      <c r="D96" s="521"/>
      <c r="E96" s="522"/>
      <c r="F96" s="1144"/>
      <c r="G96" s="19"/>
      <c r="H96" s="2"/>
      <c r="I96" s="47"/>
      <c r="J96" s="521"/>
      <c r="K96" s="522"/>
      <c r="L96" s="1138"/>
      <c r="M96" s="19"/>
      <c r="N96" s="2"/>
      <c r="O96" s="2"/>
      <c r="P96" s="521"/>
      <c r="Q96" s="522"/>
      <c r="R96" s="1144"/>
      <c r="S96" s="571"/>
      <c r="T96" s="566"/>
      <c r="U96" s="566"/>
      <c r="V96" s="521"/>
      <c r="W96" s="522"/>
    </row>
    <row r="97" spans="1:23" ht="14.45" customHeight="1" x14ac:dyDescent="0.25">
      <c r="A97" s="28"/>
      <c r="B97" s="784" t="s">
        <v>7</v>
      </c>
      <c r="C97" s="784"/>
      <c r="D97" s="784" t="s">
        <v>16</v>
      </c>
      <c r="E97" s="785"/>
      <c r="F97" s="1144"/>
      <c r="G97" s="27"/>
      <c r="H97" s="786" t="s">
        <v>7</v>
      </c>
      <c r="I97" s="786"/>
      <c r="J97" s="786" t="s">
        <v>16</v>
      </c>
      <c r="K97" s="787"/>
      <c r="L97" s="1138"/>
      <c r="M97" s="26"/>
      <c r="N97" s="715" t="s">
        <v>7</v>
      </c>
      <c r="O97" s="715"/>
      <c r="P97" s="715" t="s">
        <v>16</v>
      </c>
      <c r="Q97" s="716"/>
      <c r="R97" s="1144"/>
      <c r="S97" s="24"/>
      <c r="T97" s="713" t="s">
        <v>7</v>
      </c>
      <c r="U97" s="713"/>
      <c r="V97" s="713" t="s">
        <v>16</v>
      </c>
      <c r="W97" s="714"/>
    </row>
    <row r="98" spans="1:23" ht="14.45" customHeight="1" x14ac:dyDescent="0.25">
      <c r="A98" s="36">
        <f>G95+$J$62+R5</f>
        <v>0.50000000000000022</v>
      </c>
      <c r="B98" s="37" t="str">
        <f>B84</f>
        <v>2eme A</v>
      </c>
      <c r="C98" s="37" t="str">
        <f>B87</f>
        <v>1er D</v>
      </c>
      <c r="D98" s="65"/>
      <c r="E98" s="66"/>
      <c r="F98" s="1144"/>
      <c r="G98" s="133">
        <f>A98</f>
        <v>0.50000000000000022</v>
      </c>
      <c r="H98" s="134" t="str">
        <f>H84</f>
        <v>2eme E</v>
      </c>
      <c r="I98" s="134" t="str">
        <f>H87</f>
        <v>1er H</v>
      </c>
      <c r="J98" s="574"/>
      <c r="K98" s="575"/>
      <c r="L98" s="1138"/>
      <c r="M98" s="32">
        <f>A98</f>
        <v>0.50000000000000022</v>
      </c>
      <c r="N98" s="33" t="str">
        <f>N84</f>
        <v>1er A</v>
      </c>
      <c r="O98" s="33" t="str">
        <f>N87</f>
        <v>2eme D</v>
      </c>
      <c r="P98" s="57"/>
      <c r="Q98" s="58"/>
      <c r="R98" s="1144"/>
      <c r="S98" s="30">
        <f>G98</f>
        <v>0.50000000000000022</v>
      </c>
      <c r="T98" s="31" t="str">
        <f>T84</f>
        <v>1er E</v>
      </c>
      <c r="U98" s="31" t="str">
        <f>T87</f>
        <v>2eme H</v>
      </c>
      <c r="V98" s="53"/>
      <c r="W98" s="54"/>
    </row>
    <row r="99" spans="1:23" ht="15.75" thickBot="1" x14ac:dyDescent="0.3">
      <c r="A99" s="44">
        <f>A98+$J$62+R5</f>
        <v>0.51041666666666685</v>
      </c>
      <c r="B99" s="45" t="str">
        <f>B85</f>
        <v>2eme B</v>
      </c>
      <c r="C99" s="45" t="str">
        <f>B86</f>
        <v>1er C</v>
      </c>
      <c r="D99" s="67"/>
      <c r="E99" s="68"/>
      <c r="F99" s="1145"/>
      <c r="G99" s="42">
        <f>G98+$J$62+R5</f>
        <v>0.51041666666666685</v>
      </c>
      <c r="H99" s="43" t="str">
        <f>H85</f>
        <v>2eme F</v>
      </c>
      <c r="I99" s="43" t="str">
        <f>H86</f>
        <v>1er G</v>
      </c>
      <c r="J99" s="63"/>
      <c r="K99" s="64"/>
      <c r="L99" s="89"/>
      <c r="M99" s="40">
        <f>A99</f>
        <v>0.51041666666666685</v>
      </c>
      <c r="N99" s="41" t="str">
        <f>N85</f>
        <v>1er B</v>
      </c>
      <c r="O99" s="41" t="str">
        <f>N86</f>
        <v>2eme C</v>
      </c>
      <c r="P99" s="59"/>
      <c r="Q99" s="60"/>
      <c r="R99" s="1145"/>
      <c r="S99" s="38">
        <f>G99</f>
        <v>0.51041666666666685</v>
      </c>
      <c r="T99" s="39" t="str">
        <f>T85</f>
        <v>1er F</v>
      </c>
      <c r="U99" s="39" t="str">
        <f>T86</f>
        <v>2eme G</v>
      </c>
      <c r="V99" s="55"/>
      <c r="W99" s="56"/>
    </row>
    <row r="100" spans="1:23" x14ac:dyDescent="0.25">
      <c r="A100" s="771" t="s">
        <v>334</v>
      </c>
      <c r="B100" s="771"/>
      <c r="C100" s="771"/>
      <c r="D100" s="771"/>
      <c r="E100" s="771"/>
      <c r="F100" s="771"/>
      <c r="G100" s="771"/>
      <c r="H100" s="771"/>
      <c r="I100" s="771"/>
      <c r="J100" s="771"/>
      <c r="K100" s="771"/>
      <c r="L100" s="771"/>
      <c r="M100" s="771"/>
      <c r="N100" s="771"/>
      <c r="O100" s="771"/>
      <c r="P100" s="771"/>
      <c r="Q100" s="771"/>
      <c r="R100" s="771"/>
      <c r="S100" s="771"/>
      <c r="T100" s="771"/>
      <c r="U100" s="771"/>
      <c r="V100" s="771"/>
      <c r="W100" s="771"/>
    </row>
    <row r="101" spans="1:23" hidden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6.5" hidden="1" thickBot="1" x14ac:dyDescent="0.3">
      <c r="A102" s="670" t="s">
        <v>49</v>
      </c>
      <c r="B102" s="671"/>
      <c r="C102" s="671"/>
      <c r="D102" s="671"/>
      <c r="E102" s="671"/>
      <c r="F102" s="671"/>
      <c r="G102" s="671"/>
      <c r="H102" s="671"/>
      <c r="I102" s="671"/>
      <c r="J102" s="671"/>
      <c r="K102" s="671"/>
      <c r="L102" s="671"/>
      <c r="M102" s="671"/>
      <c r="N102" s="671"/>
      <c r="O102" s="671"/>
      <c r="P102" s="671"/>
      <c r="Q102" s="671"/>
      <c r="R102" s="671"/>
      <c r="S102" s="671"/>
      <c r="T102" s="671"/>
      <c r="U102" s="671"/>
      <c r="V102" s="671"/>
      <c r="W102" s="672"/>
    </row>
    <row r="103" spans="1:23" hidden="1" x14ac:dyDescent="0.25">
      <c r="A103" s="96"/>
      <c r="B103" s="711" t="s">
        <v>1</v>
      </c>
      <c r="C103" s="711"/>
      <c r="D103" s="711" t="s">
        <v>15</v>
      </c>
      <c r="E103" s="772"/>
      <c r="F103" s="773"/>
      <c r="G103" s="121"/>
      <c r="H103" s="711" t="s">
        <v>2</v>
      </c>
      <c r="I103" s="711"/>
      <c r="J103" s="711" t="s">
        <v>15</v>
      </c>
      <c r="K103" s="772"/>
      <c r="L103" s="75"/>
      <c r="M103" s="121"/>
      <c r="N103" s="711" t="s">
        <v>3</v>
      </c>
      <c r="O103" s="711"/>
      <c r="P103" s="711" t="s">
        <v>15</v>
      </c>
      <c r="Q103" s="772"/>
      <c r="R103" s="122"/>
      <c r="S103" s="96"/>
      <c r="T103" s="711" t="s">
        <v>4</v>
      </c>
      <c r="U103" s="711"/>
      <c r="V103" s="711" t="s">
        <v>15</v>
      </c>
      <c r="W103" s="712"/>
    </row>
    <row r="104" spans="1:23" hidden="1" x14ac:dyDescent="0.25">
      <c r="A104" s="86">
        <f>RANK(D104,$D$104:$D$107)</f>
        <v>1</v>
      </c>
      <c r="B104" s="69" t="str">
        <f>B10</f>
        <v>Equipe 1</v>
      </c>
      <c r="C104" s="69">
        <f>D16-E16+D20-E20+D24-E24</f>
        <v>0</v>
      </c>
      <c r="D104" s="681">
        <f>D10+4/10000000</f>
        <v>3.9999999999999998E-7</v>
      </c>
      <c r="E104" s="767"/>
      <c r="F104" s="774"/>
      <c r="G104" s="91">
        <f>RANK(J104,$J$104:$J$107)</f>
        <v>1</v>
      </c>
      <c r="H104" s="69" t="str">
        <f>H10</f>
        <v>Equipe 5</v>
      </c>
      <c r="I104" s="69">
        <f>J16-K16+J20-K20+J24-K24</f>
        <v>0</v>
      </c>
      <c r="J104" s="681">
        <f>J10+4/10000000</f>
        <v>3.9999999999999998E-7</v>
      </c>
      <c r="K104" s="767"/>
      <c r="L104" s="76"/>
      <c r="M104" s="91">
        <f>RANK(P104,$P$104:$P$107)</f>
        <v>1</v>
      </c>
      <c r="N104" s="69" t="str">
        <f>N10</f>
        <v>Equipe 9</v>
      </c>
      <c r="O104" s="69">
        <f>P16-Q16+P20-Q20+P24-Q24</f>
        <v>0</v>
      </c>
      <c r="P104" s="681">
        <f>P10+4/10000000</f>
        <v>3.9999999999999998E-7</v>
      </c>
      <c r="Q104" s="767"/>
      <c r="R104" s="105"/>
      <c r="S104" s="86">
        <f>RANK(V104,$V$104:$V$107)</f>
        <v>1</v>
      </c>
      <c r="T104" s="69" t="str">
        <f>T10</f>
        <v>Equipe 13</v>
      </c>
      <c r="U104" s="69">
        <f>V16-W16+V20-W20+V24-W24</f>
        <v>0</v>
      </c>
      <c r="V104" s="681">
        <f>V10+4/10000000</f>
        <v>3.9999999999999998E-7</v>
      </c>
      <c r="W104" s="682"/>
    </row>
    <row r="105" spans="1:23" hidden="1" x14ac:dyDescent="0.25">
      <c r="A105" s="86">
        <f t="shared" ref="A105:A107" si="0">RANK(D105,$D$104:$D$107)</f>
        <v>2</v>
      </c>
      <c r="B105" s="69" t="str">
        <f>B11</f>
        <v>Equipe 2</v>
      </c>
      <c r="C105" s="69">
        <f>E16-D16+D21-E21+D25-E25</f>
        <v>0</v>
      </c>
      <c r="D105" s="681">
        <f>D11+3/10000000</f>
        <v>2.9999999999999999E-7</v>
      </c>
      <c r="E105" s="767"/>
      <c r="F105" s="774"/>
      <c r="G105" s="91">
        <f t="shared" ref="G105:G107" si="1">RANK(J105,$J$104:$J$107)</f>
        <v>2</v>
      </c>
      <c r="H105" s="69" t="str">
        <f>H11</f>
        <v>Equipe 6</v>
      </c>
      <c r="I105" s="69">
        <f>K16-J16+J21-K21+J25-K25</f>
        <v>0</v>
      </c>
      <c r="J105" s="681">
        <f>J11+3/10000000</f>
        <v>2.9999999999999999E-7</v>
      </c>
      <c r="K105" s="767"/>
      <c r="L105" s="76"/>
      <c r="M105" s="91">
        <f t="shared" ref="M105:M107" si="2">RANK(P105,$P$104:$P$107)</f>
        <v>2</v>
      </c>
      <c r="N105" s="69" t="str">
        <f>N11</f>
        <v>Equipe 10</v>
      </c>
      <c r="O105" s="69">
        <f>Q16-P16+P21-Q21+P25-Q25</f>
        <v>0</v>
      </c>
      <c r="P105" s="681">
        <f>P11+3/10000000</f>
        <v>2.9999999999999999E-7</v>
      </c>
      <c r="Q105" s="767"/>
      <c r="R105" s="105"/>
      <c r="S105" s="86">
        <f t="shared" ref="S105:S107" si="3">RANK(V105,$V$104:$V$107)</f>
        <v>2</v>
      </c>
      <c r="T105" s="69" t="str">
        <f>T11</f>
        <v>Equipe 14</v>
      </c>
      <c r="U105" s="69">
        <f>W16-V16+V21-W21+V25-W25</f>
        <v>0</v>
      </c>
      <c r="V105" s="681">
        <f>V11+3/10000000</f>
        <v>2.9999999999999999E-7</v>
      </c>
      <c r="W105" s="682"/>
    </row>
    <row r="106" spans="1:23" hidden="1" x14ac:dyDescent="0.25">
      <c r="A106" s="86">
        <f t="shared" si="0"/>
        <v>3</v>
      </c>
      <c r="B106" s="69" t="str">
        <f>B12</f>
        <v>Equipe 3</v>
      </c>
      <c r="C106" s="69">
        <f>D17-E17+E20-D20+E25-D25</f>
        <v>0</v>
      </c>
      <c r="D106" s="681">
        <f>D12+2/10000000</f>
        <v>1.9999999999999999E-7</v>
      </c>
      <c r="E106" s="767"/>
      <c r="F106" s="774"/>
      <c r="G106" s="91">
        <f t="shared" si="1"/>
        <v>3</v>
      </c>
      <c r="H106" s="69" t="str">
        <f>H12</f>
        <v>Equipe 7</v>
      </c>
      <c r="I106" s="69">
        <f>J17-K17+K20-J20+K25-J25</f>
        <v>0</v>
      </c>
      <c r="J106" s="681">
        <f>J12+2/10000000</f>
        <v>1.9999999999999999E-7</v>
      </c>
      <c r="K106" s="767"/>
      <c r="L106" s="76"/>
      <c r="M106" s="91">
        <f t="shared" si="2"/>
        <v>3</v>
      </c>
      <c r="N106" s="69" t="str">
        <f>N12</f>
        <v>Equipe 11</v>
      </c>
      <c r="O106" s="69">
        <f>P17-Q17+Q20-P20+Q25-P25</f>
        <v>0</v>
      </c>
      <c r="P106" s="681">
        <f>P12+2/10000000</f>
        <v>1.9999999999999999E-7</v>
      </c>
      <c r="Q106" s="767"/>
      <c r="R106" s="105"/>
      <c r="S106" s="86">
        <f t="shared" si="3"/>
        <v>3</v>
      </c>
      <c r="T106" s="69" t="str">
        <f>T12</f>
        <v>Equipe 15</v>
      </c>
      <c r="U106" s="69">
        <f>V17-W17+W20-V20+W25-V25</f>
        <v>0</v>
      </c>
      <c r="V106" s="681">
        <f>V12+2/10000000</f>
        <v>1.9999999999999999E-7</v>
      </c>
      <c r="W106" s="682"/>
    </row>
    <row r="107" spans="1:23" ht="15.75" hidden="1" thickBot="1" x14ac:dyDescent="0.3">
      <c r="A107" s="87">
        <f t="shared" si="0"/>
        <v>4</v>
      </c>
      <c r="B107" s="88" t="str">
        <f>B13</f>
        <v>Equipe 4</v>
      </c>
      <c r="C107" s="88">
        <f>E17-D17+E21-D21+E24-D24</f>
        <v>0</v>
      </c>
      <c r="D107" s="709">
        <f>D13+1/10000000</f>
        <v>9.9999999999999995E-8</v>
      </c>
      <c r="E107" s="761"/>
      <c r="F107" s="775"/>
      <c r="G107" s="92">
        <f t="shared" si="1"/>
        <v>4</v>
      </c>
      <c r="H107" s="88" t="str">
        <f>H13</f>
        <v>Equipe 8</v>
      </c>
      <c r="I107" s="88">
        <f>K17-J17+K21-J21+K24-J24</f>
        <v>0</v>
      </c>
      <c r="J107" s="709">
        <f>J13+1/10000000</f>
        <v>9.9999999999999995E-8</v>
      </c>
      <c r="K107" s="761"/>
      <c r="L107" s="78"/>
      <c r="M107" s="92">
        <f t="shared" si="2"/>
        <v>4</v>
      </c>
      <c r="N107" s="88" t="str">
        <f>N13</f>
        <v>Equipe 12</v>
      </c>
      <c r="O107" s="88">
        <f>Q17-P17+Q21-P21+Q24-P24</f>
        <v>0</v>
      </c>
      <c r="P107" s="709">
        <f>P13+1/10000000</f>
        <v>9.9999999999999995E-8</v>
      </c>
      <c r="Q107" s="761"/>
      <c r="R107" s="123"/>
      <c r="S107" s="87">
        <f t="shared" si="3"/>
        <v>4</v>
      </c>
      <c r="T107" s="88" t="str">
        <f>T13</f>
        <v>Equipe 16</v>
      </c>
      <c r="U107" s="88">
        <f>W17-V17+W21-V21+W24-V24</f>
        <v>0</v>
      </c>
      <c r="V107" s="709">
        <f>V13+1/10000000</f>
        <v>9.9999999999999995E-8</v>
      </c>
      <c r="W107" s="710"/>
    </row>
    <row r="108" spans="1:23" hidden="1" x14ac:dyDescent="0.25">
      <c r="A108" s="700"/>
      <c r="B108" s="700"/>
      <c r="C108" s="700"/>
      <c r="D108" s="700"/>
      <c r="E108" s="700"/>
      <c r="F108" s="700"/>
      <c r="G108" s="700"/>
      <c r="H108" s="700"/>
      <c r="I108" s="700"/>
      <c r="J108" s="700"/>
      <c r="K108" s="700"/>
      <c r="L108" s="700"/>
      <c r="M108" s="700"/>
      <c r="N108" s="700"/>
      <c r="O108" s="700"/>
      <c r="P108" s="700"/>
      <c r="Q108" s="700"/>
    </row>
    <row r="109" spans="1:23" hidden="1" x14ac:dyDescent="0.25">
      <c r="A109" s="1">
        <f>IF(D16="",0,(IF(D16&gt;E16,3,IF(D16=E16,1,0))))</f>
        <v>0</v>
      </c>
      <c r="B109" s="1">
        <f>IF(E16="",0,(IF(E16&gt;D16,3,IF(E16=D16,1,0))))</f>
        <v>0</v>
      </c>
      <c r="G109" s="1">
        <f>IF(J16="",0,(IF(J16&gt;K16,3,IF(J16=K16,1,0))))</f>
        <v>0</v>
      </c>
      <c r="H109" s="1">
        <f>IF(K16="",0,(IF(K16&gt;J16,3,IF(K16=J16,1,0))))</f>
        <v>0</v>
      </c>
      <c r="M109" s="1">
        <f>IF(P16="",0,(IF(P16&gt;Q16,3,IF(P16=Q16,1,0))))</f>
        <v>0</v>
      </c>
      <c r="N109" s="1">
        <f>IF(Q16="",0,(IF(Q16&gt;P16,3,IF(Q16=P16,1,0))))</f>
        <v>0</v>
      </c>
      <c r="S109" s="1">
        <f>IF(V16="",0,(IF(V16&gt;W16,3,IF(V16=W16,1,0))))</f>
        <v>0</v>
      </c>
      <c r="T109" s="1">
        <f>IF(W16="",0,(IF(W16&gt;V16,3,IF(W16=V16,1,0))))</f>
        <v>0</v>
      </c>
    </row>
    <row r="110" spans="1:23" hidden="1" x14ac:dyDescent="0.25">
      <c r="A110" s="1">
        <f>IF(D17="",0,(IF(D17&gt;E17,3,IF(D17=E17,1,0))))</f>
        <v>0</v>
      </c>
      <c r="B110" s="1">
        <f>IF(E17="",0,(IF(E17&gt;D17,3,IF(E17=D17,1,0))))</f>
        <v>0</v>
      </c>
      <c r="G110" s="1">
        <f>IF(J17="",0,(IF(J17&gt;K17,3,IF(J17=K17,1,0))))</f>
        <v>0</v>
      </c>
      <c r="H110" s="1">
        <f>IF(K17="",0,(IF(K17&gt;J17,3,IF(K17=J17,1,0))))</f>
        <v>0</v>
      </c>
      <c r="M110" s="1">
        <f>IF(P17="",0,(IF(P17&gt;Q17,3,IF(P17=Q17,1,0))))</f>
        <v>0</v>
      </c>
      <c r="N110" s="1">
        <f>IF(Q17="",0,(IF(Q17&gt;P17,3,IF(Q17=P17,1,0))))</f>
        <v>0</v>
      </c>
      <c r="S110" s="1">
        <f>IF(V17="",0,(IF(V17&gt;W17,3,IF(V17=W17,1,0))))</f>
        <v>0</v>
      </c>
      <c r="T110" s="1">
        <f>IF(W17="",0,(IF(W17&gt;V17,3,IF(W17=V17,1,0))))</f>
        <v>0</v>
      </c>
    </row>
    <row r="111" spans="1:23" hidden="1" x14ac:dyDescent="0.25"/>
    <row r="112" spans="1:23" hidden="1" x14ac:dyDescent="0.25"/>
    <row r="113" spans="1:23" hidden="1" x14ac:dyDescent="0.25">
      <c r="A113" s="1">
        <f>IF(D20="",0,(IF(D20&gt;E20,3,IF(D20=E20,1,0))))</f>
        <v>0</v>
      </c>
      <c r="B113" s="1">
        <f>IF(E20="",0,(IF(E20&gt;D20,3,IF(E20=D20,1,0))))</f>
        <v>0</v>
      </c>
      <c r="G113" s="1">
        <f>IF(J20="",0,(IF(J20&gt;K20,3,IF(J20=K20,1,0))))</f>
        <v>0</v>
      </c>
      <c r="H113" s="1">
        <f>IF(K20="",0,(IF(K20&gt;J20,3,IF(K20=J20,1,0))))</f>
        <v>0</v>
      </c>
      <c r="M113" s="1">
        <f>IF(P20="",0,(IF(P20&gt;Q20,3,IF(P20=Q20,1,0))))</f>
        <v>0</v>
      </c>
      <c r="N113" s="1">
        <f>IF(Q20="",0,(IF(Q20&gt;P20,3,IF(Q20=P20,1,0))))</f>
        <v>0</v>
      </c>
      <c r="S113" s="1">
        <f>IF(V20="",0,(IF(V20&gt;W20,3,IF(V20=W20,1,0))))</f>
        <v>0</v>
      </c>
      <c r="T113" s="1">
        <f>IF(W20="",0,(IF(W20&gt;V20,3,IF(W20=V20,1,0))))</f>
        <v>0</v>
      </c>
    </row>
    <row r="114" spans="1:23" hidden="1" x14ac:dyDescent="0.25">
      <c r="A114" s="1">
        <f>IF(D21="",0,(IF(D21&gt;E21,3,IF(D21=E21,1,0))))</f>
        <v>0</v>
      </c>
      <c r="B114" s="1">
        <f>IF(E21="",0,(IF(E21&gt;D21,3,IF(E21=D21,1,0))))</f>
        <v>0</v>
      </c>
      <c r="G114" s="1">
        <f>IF(J21="",0,(IF(J21&gt;K21,3,IF(J21=K21,1,0))))</f>
        <v>0</v>
      </c>
      <c r="H114" s="1">
        <f>IF(K21="",0,(IF(K21&gt;J21,3,IF(K21=J21,1,0))))</f>
        <v>0</v>
      </c>
      <c r="M114" s="1">
        <f>IF(P21="",0,(IF(P21&gt;Q21,3,IF(P21=Q21,1,0))))</f>
        <v>0</v>
      </c>
      <c r="N114" s="1">
        <f>IF(Q21="",0,(IF(Q21&gt;P21,3,IF(Q21=P21,1,0))))</f>
        <v>0</v>
      </c>
      <c r="S114" s="1">
        <f>IF(V21="",0,(IF(V21&gt;W21,3,IF(V21=W21,1,0))))</f>
        <v>0</v>
      </c>
      <c r="T114" s="1">
        <f>IF(W21="",0,(IF(W21&gt;V21,3,IF(W21=V21,1,0))))</f>
        <v>0</v>
      </c>
    </row>
    <row r="115" spans="1:23" hidden="1" x14ac:dyDescent="0.25"/>
    <row r="116" spans="1:23" hidden="1" x14ac:dyDescent="0.25"/>
    <row r="117" spans="1:23" hidden="1" x14ac:dyDescent="0.25">
      <c r="A117" s="1">
        <f>IF(D24="",0,(IF(D24&gt;E24,3,IF(D24=E24,1,0))))</f>
        <v>0</v>
      </c>
      <c r="B117" s="1">
        <f>IF(E24="",0,(IF(E24&gt;D24,3,IF(E24=D24,1,0))))</f>
        <v>0</v>
      </c>
      <c r="G117" s="1">
        <f>IF(J24="",0,(IF(J24&gt;K24,3,IF(J24=K24,1,0))))</f>
        <v>0</v>
      </c>
      <c r="H117" s="1">
        <f>IF(K24="",0,(IF(K24&gt;J24,3,IF(K24=J24,1,0))))</f>
        <v>0</v>
      </c>
      <c r="M117" s="1">
        <f>IF(P24="",0,(IF(P24&gt;Q24,3,IF(P24=Q24,1,0))))</f>
        <v>0</v>
      </c>
      <c r="N117" s="1">
        <f>IF(Q24="",0,(IF(Q24&gt;P24,3,IF(Q24=P24,1,0))))</f>
        <v>0</v>
      </c>
      <c r="S117" s="1">
        <f>IF(V24="",0,(IF(V24&gt;W24,3,IF(V24=W24,1,0))))</f>
        <v>0</v>
      </c>
      <c r="T117" s="1">
        <f>IF(W24="",0,(IF(W24&gt;V24,3,IF(W24=V24,1,0))))</f>
        <v>0</v>
      </c>
    </row>
    <row r="118" spans="1:23" hidden="1" x14ac:dyDescent="0.25">
      <c r="A118" s="1">
        <f>IF(D25="",0,(IF(D25&gt;E25,3,IF(D25=E25,1,0))))</f>
        <v>0</v>
      </c>
      <c r="B118" s="1">
        <f>IF(E25="",0,(IF(E25&gt;D25,3,IF(E25=D25,1,0))))</f>
        <v>0</v>
      </c>
      <c r="G118" s="1">
        <f>IF(J25="",0,(IF(J25&gt;K25,3,IF(J25=K25,1,0))))</f>
        <v>0</v>
      </c>
      <c r="H118" s="1">
        <f>IF(K25="",0,(IF(K25&gt;J25,3,IF(K25=J25,1,0))))</f>
        <v>0</v>
      </c>
      <c r="M118" s="1">
        <f>IF(P25="",0,(IF(P25&gt;Q25,3,IF(P25=Q25,1,0))))</f>
        <v>0</v>
      </c>
      <c r="N118" s="1">
        <f>IF(Q25="",0,(IF(Q25&gt;P25,3,IF(Q25=P25,1,0))))</f>
        <v>0</v>
      </c>
      <c r="S118" s="1">
        <f>IF(V25="",0,(IF(V25&gt;W25,3,IF(V25=W25,1,0))))</f>
        <v>0</v>
      </c>
      <c r="T118" s="1">
        <f>IF(W25="",0,(IF(W25&gt;V25,3,IF(W25=V25,1,0))))</f>
        <v>0</v>
      </c>
    </row>
    <row r="119" spans="1:23" hidden="1" x14ac:dyDescent="0.25"/>
    <row r="120" spans="1:23" hidden="1" x14ac:dyDescent="0.25">
      <c r="A120" s="700"/>
      <c r="B120" s="700"/>
      <c r="C120" s="700"/>
      <c r="D120" s="700"/>
      <c r="E120" s="700"/>
      <c r="F120" s="700"/>
      <c r="G120" s="700"/>
      <c r="H120" s="700"/>
      <c r="I120" s="700"/>
      <c r="J120" s="700"/>
      <c r="K120" s="700"/>
      <c r="L120" s="700"/>
      <c r="M120" s="700"/>
      <c r="N120" s="700"/>
      <c r="O120" s="700"/>
      <c r="P120" s="700"/>
      <c r="Q120" s="700"/>
    </row>
    <row r="121" spans="1:23" hidden="1" x14ac:dyDescent="0.25"/>
    <row r="122" spans="1:23" hidden="1" x14ac:dyDescent="0.25"/>
    <row r="123" spans="1:23" hidden="1" x14ac:dyDescent="0.25"/>
    <row r="124" spans="1:23" hidden="1" x14ac:dyDescent="0.25"/>
    <row r="125" spans="1:23" hidden="1" x14ac:dyDescent="0.25"/>
    <row r="126" spans="1:23" hidden="1" x14ac:dyDescent="0.25"/>
    <row r="127" spans="1:23" hidden="1" x14ac:dyDescent="0.25"/>
    <row r="128" spans="1:23" ht="16.5" hidden="1" thickBot="1" x14ac:dyDescent="0.3">
      <c r="A128" s="670" t="s">
        <v>49</v>
      </c>
      <c r="B128" s="671"/>
      <c r="C128" s="671"/>
      <c r="D128" s="671"/>
      <c r="E128" s="671"/>
      <c r="F128" s="671"/>
      <c r="G128" s="671"/>
      <c r="H128" s="671"/>
      <c r="I128" s="671"/>
      <c r="J128" s="671"/>
      <c r="K128" s="671"/>
      <c r="L128" s="671"/>
      <c r="M128" s="671"/>
      <c r="N128" s="671"/>
      <c r="O128" s="671"/>
      <c r="P128" s="671"/>
      <c r="Q128" s="671"/>
      <c r="R128" s="671"/>
      <c r="S128" s="671"/>
      <c r="T128" s="671"/>
      <c r="U128" s="671"/>
      <c r="V128" s="671"/>
      <c r="W128" s="672"/>
    </row>
    <row r="129" spans="1:23" hidden="1" x14ac:dyDescent="0.25">
      <c r="A129" s="96"/>
      <c r="B129" s="711" t="s">
        <v>256</v>
      </c>
      <c r="C129" s="711"/>
      <c r="D129" s="711" t="s">
        <v>15</v>
      </c>
      <c r="E129" s="772"/>
      <c r="F129" s="773"/>
      <c r="G129" s="121"/>
      <c r="H129" s="711" t="s">
        <v>257</v>
      </c>
      <c r="I129" s="711"/>
      <c r="J129" s="711" t="s">
        <v>15</v>
      </c>
      <c r="K129" s="772"/>
      <c r="L129" s="75"/>
      <c r="M129" s="121"/>
      <c r="N129" s="711" t="s">
        <v>303</v>
      </c>
      <c r="O129" s="711"/>
      <c r="P129" s="711" t="s">
        <v>15</v>
      </c>
      <c r="Q129" s="772"/>
      <c r="R129" s="122"/>
      <c r="S129" s="96"/>
      <c r="T129" s="711" t="s">
        <v>304</v>
      </c>
      <c r="U129" s="711"/>
      <c r="V129" s="711" t="s">
        <v>15</v>
      </c>
      <c r="W129" s="712"/>
    </row>
    <row r="130" spans="1:23" hidden="1" x14ac:dyDescent="0.25">
      <c r="A130" s="86">
        <f>RANK(D130,$D$130:$E$133)</f>
        <v>1</v>
      </c>
      <c r="B130" s="69" t="str">
        <f>B36</f>
        <v>Equipe 17</v>
      </c>
      <c r="C130" s="69">
        <f>D42-E42+D46-E46+D50-E50</f>
        <v>0</v>
      </c>
      <c r="D130" s="681">
        <f>D36+4/10000000</f>
        <v>3.9999999999999998E-7</v>
      </c>
      <c r="E130" s="767"/>
      <c r="F130" s="774"/>
      <c r="G130" s="91">
        <f>RANK(J130,$J$130:$J$133)</f>
        <v>1</v>
      </c>
      <c r="H130" s="69" t="str">
        <f>H36</f>
        <v>Equipe 21</v>
      </c>
      <c r="I130" s="69">
        <f>J42-K42+J46-K46+J50-K50</f>
        <v>0</v>
      </c>
      <c r="J130" s="681">
        <f>J36+4/10000000</f>
        <v>3.9999999999999998E-7</v>
      </c>
      <c r="K130" s="767"/>
      <c r="L130" s="76"/>
      <c r="M130" s="91">
        <f>RANK(P130,$P$130:$P$133)</f>
        <v>1</v>
      </c>
      <c r="N130" s="69" t="str">
        <f>N36</f>
        <v>Equipe 25</v>
      </c>
      <c r="O130" s="69">
        <f>P42-Q42+P46-Q46+P50-Q50</f>
        <v>0</v>
      </c>
      <c r="P130" s="681">
        <f>P36+4/10000000</f>
        <v>3.9999999999999998E-7</v>
      </c>
      <c r="Q130" s="767"/>
      <c r="R130" s="105"/>
      <c r="S130" s="86">
        <f>RANK(V130,$V$130:$V$133)</f>
        <v>1</v>
      </c>
      <c r="T130" s="69" t="str">
        <f>T36</f>
        <v>Equipe 29</v>
      </c>
      <c r="U130" s="69">
        <f>V42-W42+V46-W46+V50-W50</f>
        <v>0</v>
      </c>
      <c r="V130" s="681">
        <f>V36+4/10000000</f>
        <v>3.9999999999999998E-7</v>
      </c>
      <c r="W130" s="682"/>
    </row>
    <row r="131" spans="1:23" hidden="1" x14ac:dyDescent="0.25">
      <c r="A131" s="86">
        <f t="shared" ref="A131:A133" si="4">RANK(D131,$D$130:$E$133)</f>
        <v>2</v>
      </c>
      <c r="B131" s="69" t="str">
        <f>B37</f>
        <v>Equipe 18</v>
      </c>
      <c r="C131" s="69">
        <f>E42-D42+D47-E47+D51-E51</f>
        <v>0</v>
      </c>
      <c r="D131" s="681">
        <f>D37+3/10000000</f>
        <v>2.9999999999999999E-7</v>
      </c>
      <c r="E131" s="767"/>
      <c r="F131" s="774"/>
      <c r="G131" s="91">
        <f t="shared" ref="G131:G133" si="5">RANK(J131,$J$130:$J$133)</f>
        <v>2</v>
      </c>
      <c r="H131" s="69" t="str">
        <f>H37</f>
        <v>Equipe 22</v>
      </c>
      <c r="I131" s="69">
        <f>K42-J42+J47-K47+J51-K51</f>
        <v>0</v>
      </c>
      <c r="J131" s="681">
        <f>J37+3/10000000</f>
        <v>2.9999999999999999E-7</v>
      </c>
      <c r="K131" s="767"/>
      <c r="L131" s="76"/>
      <c r="M131" s="91">
        <f t="shared" ref="M131:M133" si="6">RANK(P131,$P$130:$P$133)</f>
        <v>2</v>
      </c>
      <c r="N131" s="69" t="str">
        <f>N37</f>
        <v>Equipe 26</v>
      </c>
      <c r="O131" s="69">
        <f>Q42-P42+P47-Q47+P51-Q51</f>
        <v>0</v>
      </c>
      <c r="P131" s="681">
        <f>P37+3/10000000</f>
        <v>2.9999999999999999E-7</v>
      </c>
      <c r="Q131" s="767"/>
      <c r="R131" s="105"/>
      <c r="S131" s="86">
        <f t="shared" ref="S131:S133" si="7">RANK(V131,$V$130:$V$133)</f>
        <v>2</v>
      </c>
      <c r="T131" s="69" t="str">
        <f>T37</f>
        <v>Equipe 30</v>
      </c>
      <c r="U131" s="69">
        <f>W42-V42+V47-W47+V51-W51</f>
        <v>0</v>
      </c>
      <c r="V131" s="681">
        <f>V37+3/10000000</f>
        <v>2.9999999999999999E-7</v>
      </c>
      <c r="W131" s="682"/>
    </row>
    <row r="132" spans="1:23" hidden="1" x14ac:dyDescent="0.25">
      <c r="A132" s="86">
        <f t="shared" si="4"/>
        <v>3</v>
      </c>
      <c r="B132" s="69" t="str">
        <f>B38</f>
        <v>Equipe 19</v>
      </c>
      <c r="C132" s="69">
        <f>D43-E43+E46-D46+E51-D51</f>
        <v>0</v>
      </c>
      <c r="D132" s="681">
        <f>D38+2/10000000</f>
        <v>1.9999999999999999E-7</v>
      </c>
      <c r="E132" s="767"/>
      <c r="F132" s="774"/>
      <c r="G132" s="91">
        <f t="shared" si="5"/>
        <v>3</v>
      </c>
      <c r="H132" s="69" t="str">
        <f>H38</f>
        <v>Equipe 23</v>
      </c>
      <c r="I132" s="69">
        <f>J43-K43+K46-J46+K51-J51</f>
        <v>0</v>
      </c>
      <c r="J132" s="681">
        <f>J38+2/10000000</f>
        <v>1.9999999999999999E-7</v>
      </c>
      <c r="K132" s="767"/>
      <c r="L132" s="76"/>
      <c r="M132" s="91">
        <f t="shared" si="6"/>
        <v>3</v>
      </c>
      <c r="N132" s="69" t="str">
        <f>N38</f>
        <v>Equipe 27</v>
      </c>
      <c r="O132" s="69">
        <f>P43-Q43+Q46-P46+Q51-P51</f>
        <v>0</v>
      </c>
      <c r="P132" s="681">
        <f>P38+2/10000000</f>
        <v>1.9999999999999999E-7</v>
      </c>
      <c r="Q132" s="767"/>
      <c r="R132" s="105"/>
      <c r="S132" s="86">
        <f t="shared" si="7"/>
        <v>3</v>
      </c>
      <c r="T132" s="69" t="str">
        <f>T38</f>
        <v>Equipe 31</v>
      </c>
      <c r="U132" s="69">
        <f>V43-W43+W46-V46+W51-V51</f>
        <v>0</v>
      </c>
      <c r="V132" s="681">
        <f>V38+2/10000000</f>
        <v>1.9999999999999999E-7</v>
      </c>
      <c r="W132" s="682"/>
    </row>
    <row r="133" spans="1:23" ht="15.75" hidden="1" thickBot="1" x14ac:dyDescent="0.3">
      <c r="A133" s="86">
        <f t="shared" si="4"/>
        <v>4</v>
      </c>
      <c r="B133" s="88" t="str">
        <f>B39</f>
        <v>Equipe 20</v>
      </c>
      <c r="C133" s="88">
        <f>E43-D43+E47-D47+E50-D50</f>
        <v>0</v>
      </c>
      <c r="D133" s="709">
        <f>D39+1/10000000</f>
        <v>9.9999999999999995E-8</v>
      </c>
      <c r="E133" s="761"/>
      <c r="F133" s="775"/>
      <c r="G133" s="91">
        <f t="shared" si="5"/>
        <v>4</v>
      </c>
      <c r="H133" s="88" t="str">
        <f>H39</f>
        <v>Equipe 24</v>
      </c>
      <c r="I133" s="88">
        <f>K43-J43+K47-J47+K50-J50</f>
        <v>0</v>
      </c>
      <c r="J133" s="709">
        <f>J39+1/10000000</f>
        <v>9.9999999999999995E-8</v>
      </c>
      <c r="K133" s="761"/>
      <c r="L133" s="78"/>
      <c r="M133" s="91">
        <f t="shared" si="6"/>
        <v>4</v>
      </c>
      <c r="N133" s="88" t="str">
        <f>N39</f>
        <v>Equipe 28</v>
      </c>
      <c r="O133" s="88">
        <f>Q43-P43+Q47-P47+Q50-P50</f>
        <v>0</v>
      </c>
      <c r="P133" s="709">
        <f>P39+1/10000000</f>
        <v>9.9999999999999995E-8</v>
      </c>
      <c r="Q133" s="761"/>
      <c r="R133" s="123"/>
      <c r="S133" s="86">
        <f t="shared" si="7"/>
        <v>4</v>
      </c>
      <c r="T133" s="88" t="str">
        <f>T39</f>
        <v>Equipe 32</v>
      </c>
      <c r="U133" s="88">
        <f>W43-V43+W47-V47+W50-V50</f>
        <v>0</v>
      </c>
      <c r="V133" s="709">
        <f>V39+1/10000000</f>
        <v>9.9999999999999995E-8</v>
      </c>
      <c r="W133" s="710"/>
    </row>
    <row r="134" spans="1:23" hidden="1" x14ac:dyDescent="0.25">
      <c r="A134" s="700"/>
      <c r="B134" s="700"/>
      <c r="C134" s="700"/>
      <c r="D134" s="700"/>
      <c r="E134" s="700"/>
      <c r="F134" s="700"/>
      <c r="G134" s="700"/>
      <c r="H134" s="700"/>
      <c r="I134" s="700"/>
      <c r="J134" s="700"/>
      <c r="K134" s="700"/>
      <c r="L134" s="700"/>
      <c r="M134" s="700"/>
      <c r="N134" s="700"/>
      <c r="O134" s="700"/>
      <c r="P134" s="700"/>
      <c r="Q134" s="700"/>
    </row>
    <row r="135" spans="1:23" hidden="1" x14ac:dyDescent="0.25">
      <c r="A135" s="1">
        <f>IF(D42="",0,(IF(D42&gt;E42,3,IF(D42=E42,1,0))))</f>
        <v>0</v>
      </c>
      <c r="B135" s="1">
        <f>IF(E42="",0,(IF(E42&gt;D42,3,IF(E42=D42,1,0))))</f>
        <v>0</v>
      </c>
      <c r="G135" s="1">
        <f>IF(J42="",0,(IF(J42&gt;K42,3,IF(J42=K42,1,0))))</f>
        <v>0</v>
      </c>
      <c r="H135" s="1">
        <f>IF(K42="",0,(IF(K42&gt;J42,3,IF(K42=J42,1,0))))</f>
        <v>0</v>
      </c>
      <c r="M135" s="1">
        <f>IF(P42="",0,(IF(P42&gt;Q42,3,IF(P42=Q42,1,0))))</f>
        <v>0</v>
      </c>
      <c r="N135" s="1">
        <f>IF(Q42="",0,(IF(Q42&gt;P42,3,IF(Q42=P42,1,0))))</f>
        <v>0</v>
      </c>
      <c r="S135" s="1">
        <f>IF(V42="",0,(IF(V42&gt;W42,3,IF(V42=W42,1,0))))</f>
        <v>0</v>
      </c>
      <c r="T135" s="1">
        <f>IF(W42="",0,(IF(W42&gt;V42,3,IF(W42=V42,1,0))))</f>
        <v>0</v>
      </c>
    </row>
    <row r="136" spans="1:23" hidden="1" x14ac:dyDescent="0.25">
      <c r="A136" s="1">
        <f>IF(D43="",0,(IF(D43&gt;E43,3,IF(D43=E43,1,0))))</f>
        <v>0</v>
      </c>
      <c r="B136" s="1">
        <f>IF(E43="",0,(IF(E43&gt;D43,3,IF(E43=D43,1,0))))</f>
        <v>0</v>
      </c>
      <c r="G136" s="1">
        <f>IF(J43="",0,(IF(J43&gt;K43,3,IF(J43=K43,1,0))))</f>
        <v>0</v>
      </c>
      <c r="H136" s="1">
        <f>IF(K43="",0,(IF(K43&gt;J43,3,IF(K43=J43,1,0))))</f>
        <v>0</v>
      </c>
      <c r="M136" s="1">
        <f>IF(P43="",0,(IF(P43&gt;Q43,3,IF(P43=Q43,1,0))))</f>
        <v>0</v>
      </c>
      <c r="N136" s="1">
        <f>IF(Q43="",0,(IF(Q43&gt;P43,3,IF(Q43=P43,1,0))))</f>
        <v>0</v>
      </c>
      <c r="S136" s="1">
        <f>IF(V43="",0,(IF(V43&gt;W43,3,IF(V43=W43,1,0))))</f>
        <v>0</v>
      </c>
      <c r="T136" s="1">
        <f>IF(W43="",0,(IF(W43&gt;V43,3,IF(W43=V43,1,0))))</f>
        <v>0</v>
      </c>
    </row>
    <row r="137" spans="1:23" hidden="1" x14ac:dyDescent="0.25"/>
    <row r="138" spans="1:23" hidden="1" x14ac:dyDescent="0.25"/>
    <row r="139" spans="1:23" hidden="1" x14ac:dyDescent="0.25">
      <c r="A139" s="1">
        <f>IF(D46="",0,(IF(D46&gt;E46,3,IF(D46=E46,1,0))))</f>
        <v>0</v>
      </c>
      <c r="B139" s="1">
        <f>IF(E46="",0,(IF(E46&gt;D46,3,IF(E46=D46,1,0))))</f>
        <v>0</v>
      </c>
      <c r="G139" s="1">
        <f>IF(J46="",0,(IF(J46&gt;K46,3,IF(J46=K46,1,0))))</f>
        <v>0</v>
      </c>
      <c r="H139" s="1">
        <f>IF(K46="",0,(IF(K46&gt;J46,3,IF(K46=J46,1,0))))</f>
        <v>0</v>
      </c>
      <c r="M139" s="1">
        <f>IF(P46="",0,(IF(P46&gt;Q46,3,IF(P46=Q46,1,0))))</f>
        <v>0</v>
      </c>
      <c r="N139" s="1">
        <f>IF(Q46="",0,(IF(Q46&gt;P46,3,IF(Q46=P46,1,0))))</f>
        <v>0</v>
      </c>
      <c r="S139" s="1">
        <f>IF(V46="",0,(IF(V46&gt;W46,3,IF(V46=W46,1,0))))</f>
        <v>0</v>
      </c>
      <c r="T139" s="1">
        <f>IF(W46="",0,(IF(W46&gt;V46,3,IF(W46=V46,1,0))))</f>
        <v>0</v>
      </c>
    </row>
    <row r="140" spans="1:23" hidden="1" x14ac:dyDescent="0.25">
      <c r="A140" s="1">
        <f>IF(D47="",0,(IF(D47&gt;E47,3,IF(D47=E47,1,0))))</f>
        <v>0</v>
      </c>
      <c r="B140" s="1">
        <f>IF(E47="",0,(IF(E47&gt;D47,3,IF(E47=D47,1,0))))</f>
        <v>0</v>
      </c>
      <c r="G140" s="1">
        <f>IF(J47="",0,(IF(J47&gt;K47,3,IF(J47=K47,1,0))))</f>
        <v>0</v>
      </c>
      <c r="H140" s="1">
        <f>IF(K47="",0,(IF(K47&gt;J47,3,IF(K47=J47,1,0))))</f>
        <v>0</v>
      </c>
      <c r="M140" s="1">
        <f>IF(P47="",0,(IF(P47&gt;Q47,3,IF(P47=Q47,1,0))))</f>
        <v>0</v>
      </c>
      <c r="N140" s="1">
        <f>IF(Q47="",0,(IF(Q47&gt;P47,3,IF(Q47=P47,1,0))))</f>
        <v>0</v>
      </c>
      <c r="S140" s="1">
        <f>IF(V47="",0,(IF(V47&gt;W47,3,IF(V47=W47,1,0))))</f>
        <v>0</v>
      </c>
      <c r="T140" s="1">
        <f>IF(W47="",0,(IF(W47&gt;V47,3,IF(W47=V47,1,0))))</f>
        <v>0</v>
      </c>
    </row>
    <row r="141" spans="1:23" hidden="1" x14ac:dyDescent="0.25"/>
    <row r="142" spans="1:23" hidden="1" x14ac:dyDescent="0.25"/>
    <row r="143" spans="1:23" hidden="1" x14ac:dyDescent="0.25">
      <c r="A143" s="1">
        <f>IF(D50="",0,(IF(D50&gt;E50,3,IF(D50=E50,1,0))))</f>
        <v>0</v>
      </c>
      <c r="B143" s="1">
        <f>IF(E50="",0,(IF(E50&gt;D50,3,IF(E50=D50,1,0))))</f>
        <v>0</v>
      </c>
      <c r="G143" s="1">
        <f>IF(J50="",0,(IF(J50&gt;K50,3,IF(J50=K50,1,0))))</f>
        <v>0</v>
      </c>
      <c r="H143" s="1">
        <f>IF(K50="",0,(IF(K50&gt;J50,3,IF(K50=J50,1,0))))</f>
        <v>0</v>
      </c>
      <c r="M143" s="1">
        <f>IF(P50="",0,(IF(P50&gt;Q50,3,IF(P50=Q50,1,0))))</f>
        <v>0</v>
      </c>
      <c r="N143" s="1">
        <f>IF(Q50="",0,(IF(Q50&gt;P50,3,IF(Q50=P50,1,0))))</f>
        <v>0</v>
      </c>
      <c r="S143" s="1">
        <f>IF(V50="",0,(IF(V50&gt;W50,3,IF(V50=W50,1,0))))</f>
        <v>0</v>
      </c>
      <c r="T143" s="1">
        <f>IF(W50="",0,(IF(W50&gt;V50,3,IF(W50=V50,1,0))))</f>
        <v>0</v>
      </c>
    </row>
    <row r="144" spans="1:23" hidden="1" x14ac:dyDescent="0.25">
      <c r="A144" s="1">
        <f>IF(D51="",0,(IF(D51&gt;E51,3,IF(D51=E51,1,0))))</f>
        <v>0</v>
      </c>
      <c r="B144" s="1">
        <f>IF(E51="",0,(IF(E51&gt;D51,3,IF(E51=D51,1,0))))</f>
        <v>0</v>
      </c>
      <c r="G144" s="1">
        <f>IF(J51="",0,(IF(J51&gt;K51,3,IF(J51=K51,1,0))))</f>
        <v>0</v>
      </c>
      <c r="H144" s="1">
        <f>IF(K51="",0,(IF(K51&gt;J51,3,IF(K51=J51,1,0))))</f>
        <v>0</v>
      </c>
      <c r="M144" s="1">
        <f>IF(P51="",0,(IF(P51&gt;Q51,3,IF(P51=Q51,1,0))))</f>
        <v>0</v>
      </c>
      <c r="N144" s="1">
        <f>IF(Q51="",0,(IF(Q51&gt;P51,3,IF(Q51=P51,1,0))))</f>
        <v>0</v>
      </c>
      <c r="S144" s="1">
        <f>IF(V51="",0,(IF(V51&gt;W51,3,IF(V51=W51,1,0))))</f>
        <v>0</v>
      </c>
      <c r="T144" s="1">
        <f>IF(W51="",0,(IF(W51&gt;V51,3,IF(W51=V51,1,0))))</f>
        <v>0</v>
      </c>
    </row>
    <row r="145" spans="1:23" hidden="1" x14ac:dyDescent="0.25"/>
    <row r="146" spans="1:23" hidden="1" x14ac:dyDescent="0.25"/>
    <row r="147" spans="1:23" hidden="1" x14ac:dyDescent="0.25"/>
    <row r="148" spans="1:23" hidden="1" x14ac:dyDescent="0.25"/>
    <row r="149" spans="1:23" hidden="1" x14ac:dyDescent="0.25"/>
    <row r="150" spans="1:23" hidden="1" x14ac:dyDescent="0.25"/>
    <row r="151" spans="1:23" hidden="1" x14ac:dyDescent="0.25"/>
    <row r="152" spans="1:23" hidden="1" x14ac:dyDescent="0.25"/>
    <row r="153" spans="1:23" hidden="1" x14ac:dyDescent="0.25"/>
    <row r="154" spans="1:23" hidden="1" x14ac:dyDescent="0.25"/>
    <row r="155" spans="1:23" hidden="1" x14ac:dyDescent="0.25"/>
    <row r="156" spans="1:23" hidden="1" x14ac:dyDescent="0.25"/>
    <row r="157" spans="1:23" ht="16.5" hidden="1" thickBot="1" x14ac:dyDescent="0.3">
      <c r="A157" s="670" t="s">
        <v>305</v>
      </c>
      <c r="B157" s="671"/>
      <c r="C157" s="671"/>
      <c r="D157" s="671"/>
      <c r="E157" s="671"/>
      <c r="F157" s="671"/>
      <c r="G157" s="671"/>
      <c r="H157" s="671"/>
      <c r="I157" s="671"/>
      <c r="J157" s="671"/>
      <c r="K157" s="671"/>
      <c r="L157" s="671"/>
      <c r="M157" s="671"/>
      <c r="N157" s="671"/>
      <c r="O157" s="671"/>
      <c r="P157" s="671"/>
      <c r="Q157" s="671"/>
      <c r="R157" s="671"/>
      <c r="S157" s="671"/>
      <c r="T157" s="671"/>
      <c r="U157" s="671"/>
      <c r="V157" s="671"/>
      <c r="W157" s="672"/>
    </row>
    <row r="158" spans="1:23" hidden="1" x14ac:dyDescent="0.25">
      <c r="A158" s="96"/>
      <c r="B158" s="711" t="s">
        <v>1</v>
      </c>
      <c r="C158" s="711"/>
      <c r="D158" s="711" t="s">
        <v>15</v>
      </c>
      <c r="E158" s="772"/>
      <c r="F158" s="773"/>
      <c r="G158" s="121"/>
      <c r="H158" s="711" t="s">
        <v>2</v>
      </c>
      <c r="I158" s="711"/>
      <c r="J158" s="711" t="s">
        <v>15</v>
      </c>
      <c r="K158" s="772"/>
      <c r="L158" s="75"/>
      <c r="M158" s="121"/>
      <c r="N158" s="711" t="s">
        <v>3</v>
      </c>
      <c r="O158" s="711"/>
      <c r="P158" s="711" t="s">
        <v>15</v>
      </c>
      <c r="Q158" s="772"/>
      <c r="R158" s="122"/>
      <c r="S158" s="96"/>
      <c r="T158" s="711" t="s">
        <v>4</v>
      </c>
      <c r="U158" s="711"/>
      <c r="V158" s="711" t="s">
        <v>15</v>
      </c>
      <c r="W158" s="712"/>
    </row>
    <row r="159" spans="1:23" hidden="1" x14ac:dyDescent="0.25">
      <c r="A159" s="86">
        <f>RANK(D159,$D$159:$E$162)</f>
        <v>1</v>
      </c>
      <c r="B159" s="69" t="str">
        <f>B65</f>
        <v>4eme A</v>
      </c>
      <c r="C159" s="69">
        <f>D71-E71+D75-E75+D79-E79</f>
        <v>0</v>
      </c>
      <c r="D159" s="681">
        <f>D65+4/10000000</f>
        <v>3.9999999999999998E-7</v>
      </c>
      <c r="E159" s="767"/>
      <c r="F159" s="774"/>
      <c r="G159" s="91">
        <f>RANK(J159,$J$159:$J$162)</f>
        <v>1</v>
      </c>
      <c r="H159" s="69" t="str">
        <f>H65</f>
        <v>4eme E</v>
      </c>
      <c r="I159" s="69">
        <f>J71-K71+J75-K75+J79-K79</f>
        <v>0</v>
      </c>
      <c r="J159" s="681">
        <f>J65+4/10000000</f>
        <v>3.9999999999999998E-7</v>
      </c>
      <c r="K159" s="767"/>
      <c r="L159" s="76"/>
      <c r="M159" s="91">
        <f>RANK(P159,$P$159:$P$162)</f>
        <v>1</v>
      </c>
      <c r="N159" s="69" t="str">
        <f>N65</f>
        <v>3eme A</v>
      </c>
      <c r="O159" s="69">
        <f>P71-Q71+P75-Q75+P79-Q79</f>
        <v>0</v>
      </c>
      <c r="P159" s="681">
        <f>P65+4/10000000</f>
        <v>3.9999999999999998E-7</v>
      </c>
      <c r="Q159" s="767"/>
      <c r="R159" s="105"/>
      <c r="S159" s="86">
        <f>RANK(V159,$V$159:$V$162)</f>
        <v>1</v>
      </c>
      <c r="T159" s="69" t="str">
        <f>T65</f>
        <v>3eme E</v>
      </c>
      <c r="U159" s="69">
        <f>V71-W71+V75-W75+V79-W79</f>
        <v>0</v>
      </c>
      <c r="V159" s="681">
        <f>V65+4/10000000</f>
        <v>3.9999999999999998E-7</v>
      </c>
      <c r="W159" s="682"/>
    </row>
    <row r="160" spans="1:23" hidden="1" x14ac:dyDescent="0.25">
      <c r="A160" s="86">
        <f t="shared" ref="A160:A162" si="8">RANK(D160,$D$159:$E$162)</f>
        <v>2</v>
      </c>
      <c r="B160" s="69" t="str">
        <f>B66</f>
        <v>4eme B</v>
      </c>
      <c r="C160" s="69">
        <f>E71-D71+D76-E76+D80-E80</f>
        <v>0</v>
      </c>
      <c r="D160" s="681">
        <f>D66+3/10000000</f>
        <v>2.9999999999999999E-7</v>
      </c>
      <c r="E160" s="767"/>
      <c r="F160" s="774"/>
      <c r="G160" s="91">
        <f t="shared" ref="G160:G162" si="9">RANK(J160,$J$159:$J$162)</f>
        <v>2</v>
      </c>
      <c r="H160" s="69" t="str">
        <f>H66</f>
        <v>4eme F</v>
      </c>
      <c r="I160" s="69">
        <f>K71-J71+J76-K76+J80-K80</f>
        <v>0</v>
      </c>
      <c r="J160" s="681">
        <f>J66+3/10000000</f>
        <v>2.9999999999999999E-7</v>
      </c>
      <c r="K160" s="767"/>
      <c r="L160" s="76"/>
      <c r="M160" s="91">
        <f t="shared" ref="M160:M162" si="10">RANK(P160,$P$159:$P$162)</f>
        <v>2</v>
      </c>
      <c r="N160" s="69" t="str">
        <f>N66</f>
        <v>3eme B</v>
      </c>
      <c r="O160" s="69">
        <f>Q71-P71+P76-Q76+P80-Q80</f>
        <v>0</v>
      </c>
      <c r="P160" s="681">
        <f>P66+3/10000000</f>
        <v>2.9999999999999999E-7</v>
      </c>
      <c r="Q160" s="767"/>
      <c r="R160" s="105"/>
      <c r="S160" s="86">
        <f t="shared" ref="S160:S162" si="11">RANK(V160,$V$159:$V$162)</f>
        <v>2</v>
      </c>
      <c r="T160" s="69" t="str">
        <f>T66</f>
        <v>3eme F</v>
      </c>
      <c r="U160" s="69">
        <f>W71-V71+V76-W76+V80-W80</f>
        <v>0</v>
      </c>
      <c r="V160" s="681">
        <f>V66+3/10000000</f>
        <v>2.9999999999999999E-7</v>
      </c>
      <c r="W160" s="682"/>
    </row>
    <row r="161" spans="1:23" hidden="1" x14ac:dyDescent="0.25">
      <c r="A161" s="86">
        <f t="shared" si="8"/>
        <v>3</v>
      </c>
      <c r="B161" s="69" t="str">
        <f>B67</f>
        <v>3eme C</v>
      </c>
      <c r="C161" s="69">
        <f>D72-E72+E75-D75+E80-D80</f>
        <v>0</v>
      </c>
      <c r="D161" s="681">
        <f>D67+2/10000000</f>
        <v>1.9999999999999999E-7</v>
      </c>
      <c r="E161" s="767"/>
      <c r="F161" s="774"/>
      <c r="G161" s="91">
        <f t="shared" si="9"/>
        <v>3</v>
      </c>
      <c r="H161" s="69" t="str">
        <f>H67</f>
        <v>3eme G</v>
      </c>
      <c r="I161" s="69">
        <f>J72-K72+K75-J75+K80-J80</f>
        <v>0</v>
      </c>
      <c r="J161" s="681">
        <f>J67+2/10000000</f>
        <v>1.9999999999999999E-7</v>
      </c>
      <c r="K161" s="767"/>
      <c r="L161" s="76"/>
      <c r="M161" s="91">
        <f t="shared" si="10"/>
        <v>3</v>
      </c>
      <c r="N161" s="69" t="str">
        <f>N67</f>
        <v>4eme C</v>
      </c>
      <c r="O161" s="69">
        <f>P72-Q72+Q75-P75+Q80-P80</f>
        <v>0</v>
      </c>
      <c r="P161" s="681">
        <f>P67+2/10000000</f>
        <v>1.9999999999999999E-7</v>
      </c>
      <c r="Q161" s="767"/>
      <c r="R161" s="105"/>
      <c r="S161" s="86">
        <f t="shared" si="11"/>
        <v>3</v>
      </c>
      <c r="T161" s="69" t="str">
        <f>T67</f>
        <v>4eme G</v>
      </c>
      <c r="U161" s="69">
        <f>V72-W72+W75-V75+W80-V80</f>
        <v>0</v>
      </c>
      <c r="V161" s="681">
        <f>V67+2/10000000</f>
        <v>1.9999999999999999E-7</v>
      </c>
      <c r="W161" s="682"/>
    </row>
    <row r="162" spans="1:23" ht="15.75" hidden="1" thickBot="1" x14ac:dyDescent="0.3">
      <c r="A162" s="87">
        <f t="shared" si="8"/>
        <v>4</v>
      </c>
      <c r="B162" s="88" t="str">
        <f>B68</f>
        <v>3eme D</v>
      </c>
      <c r="C162" s="88">
        <f>E72-D72+E76-D76+E79-D79</f>
        <v>0</v>
      </c>
      <c r="D162" s="709">
        <f>D68+1/10000000</f>
        <v>9.9999999999999995E-8</v>
      </c>
      <c r="E162" s="761"/>
      <c r="F162" s="775"/>
      <c r="G162" s="92">
        <f t="shared" si="9"/>
        <v>4</v>
      </c>
      <c r="H162" s="88" t="str">
        <f>H68</f>
        <v>3eme H</v>
      </c>
      <c r="I162" s="88">
        <f>K72-J72+K76-J76+K79-J79</f>
        <v>0</v>
      </c>
      <c r="J162" s="709">
        <f>J68+1/10000000</f>
        <v>9.9999999999999995E-8</v>
      </c>
      <c r="K162" s="761"/>
      <c r="L162" s="78"/>
      <c r="M162" s="92">
        <f t="shared" si="10"/>
        <v>4</v>
      </c>
      <c r="N162" s="88" t="str">
        <f>N68</f>
        <v>4eme D</v>
      </c>
      <c r="O162" s="88">
        <f>Q72-P72+Q76-P76+Q79-P79</f>
        <v>0</v>
      </c>
      <c r="P162" s="709">
        <f>P68+1/10000000</f>
        <v>9.9999999999999995E-8</v>
      </c>
      <c r="Q162" s="761"/>
      <c r="R162" s="123"/>
      <c r="S162" s="87">
        <f t="shared" si="11"/>
        <v>4</v>
      </c>
      <c r="T162" s="88" t="str">
        <f>T68</f>
        <v>4eme H</v>
      </c>
      <c r="U162" s="88">
        <f>W72-V72+W76-V76+W79-V79</f>
        <v>0</v>
      </c>
      <c r="V162" s="709">
        <f>V68+1/10000000</f>
        <v>9.9999999999999995E-8</v>
      </c>
      <c r="W162" s="710"/>
    </row>
    <row r="163" spans="1:23" hidden="1" x14ac:dyDescent="0.25">
      <c r="A163" s="700"/>
      <c r="B163" s="700"/>
      <c r="C163" s="700"/>
      <c r="D163" s="700"/>
      <c r="E163" s="700"/>
      <c r="F163" s="700"/>
      <c r="G163" s="700"/>
      <c r="H163" s="700"/>
      <c r="I163" s="700"/>
      <c r="J163" s="700"/>
      <c r="K163" s="700"/>
      <c r="L163" s="700"/>
      <c r="M163" s="700"/>
      <c r="N163" s="700"/>
      <c r="O163" s="700"/>
      <c r="P163" s="700"/>
      <c r="Q163" s="700"/>
    </row>
    <row r="164" spans="1:23" hidden="1" x14ac:dyDescent="0.25">
      <c r="A164" s="1">
        <f>IF(D71="",0,(IF(D71&gt;E71,3,IF(D71=E71,1,0))))</f>
        <v>0</v>
      </c>
      <c r="B164" s="1">
        <f>IF(E71="",0,(IF(E71&gt;D71,3,IF(E71=D71,1,0))))</f>
        <v>0</v>
      </c>
      <c r="G164" s="1">
        <f>IF(J71="",0,(IF(J71&gt;K71,3,IF(J71=K71,1,0))))</f>
        <v>0</v>
      </c>
      <c r="H164" s="1">
        <f>IF(K71="",0,(IF(K71&gt;J71,3,IF(K71=J71,1,0))))</f>
        <v>0</v>
      </c>
      <c r="M164" s="1">
        <f>IF(P71="",0,(IF(P71&gt;Q71,3,IF(P71=Q71,1,0))))</f>
        <v>0</v>
      </c>
      <c r="N164" s="1">
        <f>IF(Q71="",0,(IF(Q71&gt;P71,3,IF(Q71=P71,1,0))))</f>
        <v>0</v>
      </c>
      <c r="S164" s="1">
        <f>IF(V71="",0,(IF(V71&gt;W71,3,IF(V71=W71,1,0))))</f>
        <v>0</v>
      </c>
      <c r="T164" s="1">
        <f>IF(W71="",0,(IF(W71&gt;V71,3,IF(W71=V71,1,0))))</f>
        <v>0</v>
      </c>
    </row>
    <row r="165" spans="1:23" hidden="1" x14ac:dyDescent="0.25">
      <c r="A165" s="1">
        <f>IF(D72="",0,(IF(D72&gt;E72,3,IF(D72=E72,1,0))))</f>
        <v>0</v>
      </c>
      <c r="B165" s="1">
        <f>IF(E72="",0,(IF(E72&gt;D72,3,IF(E72=D72,1,0))))</f>
        <v>0</v>
      </c>
      <c r="G165" s="1">
        <f>IF(J72="",0,(IF(J72&gt;K72,3,IF(J72=K72,1,0))))</f>
        <v>0</v>
      </c>
      <c r="H165" s="1">
        <f>IF(K72="",0,(IF(K72&gt;J72,3,IF(K72=J72,1,0))))</f>
        <v>0</v>
      </c>
      <c r="M165" s="1">
        <f>IF(P72="",0,(IF(P72&gt;Q72,3,IF(P72=Q72,1,0))))</f>
        <v>0</v>
      </c>
      <c r="N165" s="1">
        <f>IF(Q72="",0,(IF(Q72&gt;P72,3,IF(Q72=P72,1,0))))</f>
        <v>0</v>
      </c>
      <c r="S165" s="1">
        <f>IF(V72="",0,(IF(V72&gt;W72,3,IF(V72=W72,1,0))))</f>
        <v>0</v>
      </c>
      <c r="T165" s="1">
        <f>IF(W72="",0,(IF(W72&gt;V72,3,IF(W72=V72,1,0))))</f>
        <v>0</v>
      </c>
    </row>
    <row r="166" spans="1:23" hidden="1" x14ac:dyDescent="0.25"/>
    <row r="167" spans="1:23" hidden="1" x14ac:dyDescent="0.25"/>
    <row r="168" spans="1:23" hidden="1" x14ac:dyDescent="0.25">
      <c r="A168" s="1">
        <f>IF(D75="",0,(IF(D75&gt;E75,3,IF(D75=E75,1,0))))</f>
        <v>0</v>
      </c>
      <c r="B168" s="1">
        <f>IF(E75="",0,(IF(E75&gt;D75,3,IF(E75=D75,1,0))))</f>
        <v>0</v>
      </c>
      <c r="G168" s="1">
        <f>IF(J75="",0,(IF(J75&gt;K75,3,IF(J75=K75,1,0))))</f>
        <v>0</v>
      </c>
      <c r="H168" s="1">
        <f>IF(K75="",0,(IF(K75&gt;J75,3,IF(K75=J75,1,0))))</f>
        <v>0</v>
      </c>
      <c r="M168" s="1">
        <f>IF(P75="",0,(IF(P75&gt;Q75,3,IF(P75=Q75,1,0))))</f>
        <v>0</v>
      </c>
      <c r="N168" s="1">
        <f>IF(Q75="",0,(IF(Q75&gt;P75,3,IF(Q75=P75,1,0))))</f>
        <v>0</v>
      </c>
      <c r="S168" s="1">
        <f>IF(V75="",0,(IF(V75&gt;W75,3,IF(V75=W75,1,0))))</f>
        <v>0</v>
      </c>
      <c r="T168" s="1">
        <f>IF(W75="",0,(IF(W75&gt;V75,3,IF(W75=V75,1,0))))</f>
        <v>0</v>
      </c>
    </row>
    <row r="169" spans="1:23" hidden="1" x14ac:dyDescent="0.25">
      <c r="A169" s="1">
        <f>IF(D76="",0,(IF(D76&gt;E76,3,IF(D76=E76,1,0))))</f>
        <v>0</v>
      </c>
      <c r="B169" s="1">
        <f>IF(E76="",0,(IF(E76&gt;D76,3,IF(E76=D76,1,0))))</f>
        <v>0</v>
      </c>
      <c r="G169" s="1">
        <f>IF(J76="",0,(IF(J76&gt;K76,3,IF(J76=K76,1,0))))</f>
        <v>0</v>
      </c>
      <c r="H169" s="1">
        <f>IF(K76="",0,(IF(K76&gt;J76,3,IF(K76=J76,1,0))))</f>
        <v>0</v>
      </c>
      <c r="M169" s="1">
        <f>IF(P76="",0,(IF(P76&gt;Q76,3,IF(P76=Q76,1,0))))</f>
        <v>0</v>
      </c>
      <c r="N169" s="1">
        <f>IF(Q76="",0,(IF(Q76&gt;P76,3,IF(Q76=P76,1,0))))</f>
        <v>0</v>
      </c>
      <c r="S169" s="1">
        <f>IF(V76="",0,(IF(V76&gt;W76,3,IF(V76=W76,1,0))))</f>
        <v>0</v>
      </c>
      <c r="T169" s="1">
        <f>IF(W76="",0,(IF(W76&gt;V76,3,IF(W76=V76,1,0))))</f>
        <v>0</v>
      </c>
    </row>
    <row r="170" spans="1:23" hidden="1" x14ac:dyDescent="0.25"/>
    <row r="171" spans="1:23" hidden="1" x14ac:dyDescent="0.25"/>
    <row r="172" spans="1:23" hidden="1" x14ac:dyDescent="0.25">
      <c r="A172" s="1">
        <f>IF(D79="",0,(IF(D79&gt;E79,3,IF(D79=E79,1,0))))</f>
        <v>0</v>
      </c>
      <c r="B172" s="1">
        <f>IF(E79="",0,(IF(E79&gt;D79,3,IF(E79=D79,1,0))))</f>
        <v>0</v>
      </c>
      <c r="G172" s="1">
        <f>IF(J79="",0,(IF(J79&gt;K79,3,IF(J79=K79,1,0))))</f>
        <v>0</v>
      </c>
      <c r="H172" s="1">
        <f>IF(K79="",0,(IF(K79&gt;J79,3,IF(K79=J79,1,0))))</f>
        <v>0</v>
      </c>
      <c r="M172" s="1">
        <f>IF(P79="",0,(IF(P79&gt;Q79,3,IF(P79=Q79,1,0))))</f>
        <v>0</v>
      </c>
      <c r="N172" s="1">
        <f>IF(Q79="",0,(IF(Q79&gt;P79,3,IF(Q79=P79,1,0))))</f>
        <v>0</v>
      </c>
      <c r="S172" s="1">
        <f>IF(V79="",0,(IF(V79&gt;W79,3,IF(V79=W79,1,0))))</f>
        <v>0</v>
      </c>
      <c r="T172" s="1">
        <f>IF(W79="",0,(IF(W79&gt;V79,3,IF(W79=V79,1,0))))</f>
        <v>0</v>
      </c>
    </row>
    <row r="173" spans="1:23" hidden="1" x14ac:dyDescent="0.25">
      <c r="A173" s="1">
        <f>IF(D80="",0,(IF(D80&gt;E80,3,IF(D80=E80,1,0))))</f>
        <v>0</v>
      </c>
      <c r="B173" s="1">
        <f>IF(E80="",0,(IF(E80&gt;D80,3,IF(E80=D80,1,0))))</f>
        <v>0</v>
      </c>
      <c r="G173" s="1">
        <f>IF(J80="",0,(IF(J80&gt;K80,3,IF(J80=K80,1,0))))</f>
        <v>0</v>
      </c>
      <c r="H173" s="1">
        <f>IF(K80="",0,(IF(K80&gt;J80,3,IF(K80=J80,1,0))))</f>
        <v>0</v>
      </c>
      <c r="M173" s="1">
        <f>IF(P80="",0,(IF(P80&gt;Q80,3,IF(P80=Q80,1,0))))</f>
        <v>0</v>
      </c>
      <c r="N173" s="1">
        <f>IF(Q80="",0,(IF(Q80&gt;P80,3,IF(Q80=P80,1,0))))</f>
        <v>0</v>
      </c>
      <c r="S173" s="1">
        <f>IF(V80="",0,(IF(V80&gt;W80,3,IF(V80=W80,1,0))))</f>
        <v>0</v>
      </c>
      <c r="T173" s="1">
        <f>IF(W80="",0,(IF(W80&gt;V80,3,IF(W80=V80,1,0))))</f>
        <v>0</v>
      </c>
    </row>
    <row r="174" spans="1:23" hidden="1" x14ac:dyDescent="0.25"/>
    <row r="175" spans="1:23" hidden="1" x14ac:dyDescent="0.25"/>
    <row r="176" spans="1:23" hidden="1" x14ac:dyDescent="0.25"/>
    <row r="177" spans="1:23" hidden="1" x14ac:dyDescent="0.25"/>
    <row r="178" spans="1:23" hidden="1" x14ac:dyDescent="0.25"/>
    <row r="179" spans="1:23" hidden="1" x14ac:dyDescent="0.25"/>
    <row r="180" spans="1:23" hidden="1" x14ac:dyDescent="0.25"/>
    <row r="181" spans="1:23" hidden="1" x14ac:dyDescent="0.25"/>
    <row r="182" spans="1:23" hidden="1" x14ac:dyDescent="0.25"/>
    <row r="183" spans="1:23" ht="16.5" hidden="1" thickBot="1" x14ac:dyDescent="0.3">
      <c r="A183" s="670" t="s">
        <v>305</v>
      </c>
      <c r="B183" s="671"/>
      <c r="C183" s="671"/>
      <c r="D183" s="671"/>
      <c r="E183" s="671"/>
      <c r="F183" s="671"/>
      <c r="G183" s="671"/>
      <c r="H183" s="671"/>
      <c r="I183" s="671"/>
      <c r="J183" s="671"/>
      <c r="K183" s="671"/>
      <c r="L183" s="671"/>
      <c r="M183" s="671"/>
      <c r="N183" s="671"/>
      <c r="O183" s="671"/>
      <c r="P183" s="671"/>
      <c r="Q183" s="671"/>
      <c r="R183" s="671"/>
      <c r="S183" s="671"/>
      <c r="T183" s="671"/>
      <c r="U183" s="671"/>
      <c r="V183" s="671"/>
      <c r="W183" s="672"/>
    </row>
    <row r="184" spans="1:23" hidden="1" x14ac:dyDescent="0.25">
      <c r="A184" s="96"/>
      <c r="B184" s="711" t="s">
        <v>256</v>
      </c>
      <c r="C184" s="711"/>
      <c r="D184" s="711" t="s">
        <v>15</v>
      </c>
      <c r="E184" s="772"/>
      <c r="F184" s="773"/>
      <c r="G184" s="121"/>
      <c r="H184" s="711" t="s">
        <v>257</v>
      </c>
      <c r="I184" s="711"/>
      <c r="J184" s="711" t="s">
        <v>15</v>
      </c>
      <c r="K184" s="772"/>
      <c r="L184" s="75"/>
      <c r="M184" s="121"/>
      <c r="N184" s="711" t="s">
        <v>303</v>
      </c>
      <c r="O184" s="711"/>
      <c r="P184" s="711" t="s">
        <v>15</v>
      </c>
      <c r="Q184" s="772"/>
      <c r="R184" s="122"/>
      <c r="S184" s="96"/>
      <c r="T184" s="711" t="s">
        <v>304</v>
      </c>
      <c r="U184" s="711"/>
      <c r="V184" s="711" t="s">
        <v>15</v>
      </c>
      <c r="W184" s="712"/>
    </row>
    <row r="185" spans="1:23" hidden="1" x14ac:dyDescent="0.25">
      <c r="A185" s="86">
        <f>RANK(D185,$D$185:$E$188)</f>
        <v>1</v>
      </c>
      <c r="B185" s="69" t="str">
        <f>B84</f>
        <v>2eme A</v>
      </c>
      <c r="C185" s="69">
        <f>D90-E90+D94-E94+D98-E98</f>
        <v>0</v>
      </c>
      <c r="D185" s="681">
        <f>D84+4/10000000</f>
        <v>3.9999999999999998E-7</v>
      </c>
      <c r="E185" s="767"/>
      <c r="F185" s="774"/>
      <c r="G185" s="91">
        <f>RANK(J185,$J$185:$J$188)</f>
        <v>1</v>
      </c>
      <c r="H185" s="69" t="str">
        <f>H84</f>
        <v>2eme E</v>
      </c>
      <c r="I185" s="69">
        <f>J90-K90+J94-K94+J98-K98</f>
        <v>0</v>
      </c>
      <c r="J185" s="681">
        <f>J84+4/10000000</f>
        <v>3.9999999999999998E-7</v>
      </c>
      <c r="K185" s="767"/>
      <c r="L185" s="76"/>
      <c r="M185" s="91">
        <f>RANK(P185,$P$185:$P$188)</f>
        <v>1</v>
      </c>
      <c r="N185" s="69" t="str">
        <f>N84</f>
        <v>1er A</v>
      </c>
      <c r="O185" s="69">
        <f>P90-Q90+P94-Q94+P98-Q98</f>
        <v>0</v>
      </c>
      <c r="P185" s="681">
        <f>P84+4/10000000</f>
        <v>3.9999999999999998E-7</v>
      </c>
      <c r="Q185" s="767"/>
      <c r="R185" s="105"/>
      <c r="S185" s="86">
        <f>RANK(V185,$V$185:$V$188)</f>
        <v>1</v>
      </c>
      <c r="T185" s="69" t="str">
        <f>T84</f>
        <v>1er E</v>
      </c>
      <c r="U185" s="69">
        <f>V90-W90+V94-W94+V98-W98</f>
        <v>0</v>
      </c>
      <c r="V185" s="681">
        <f>V84+4/10000000</f>
        <v>3.9999999999999998E-7</v>
      </c>
      <c r="W185" s="682"/>
    </row>
    <row r="186" spans="1:23" hidden="1" x14ac:dyDescent="0.25">
      <c r="A186" s="86">
        <f t="shared" ref="A186:A188" si="12">RANK(D186,$D$185:$E$188)</f>
        <v>2</v>
      </c>
      <c r="B186" s="69" t="str">
        <f>B85</f>
        <v>2eme B</v>
      </c>
      <c r="C186" s="69">
        <f>E90-D90+D95-E95+D99-E99</f>
        <v>0</v>
      </c>
      <c r="D186" s="681">
        <f>D85+3/10000000</f>
        <v>2.9999999999999999E-7</v>
      </c>
      <c r="E186" s="767"/>
      <c r="F186" s="774"/>
      <c r="G186" s="91">
        <f t="shared" ref="G186:G188" si="13">RANK(J186,$J$185:$J$188)</f>
        <v>2</v>
      </c>
      <c r="H186" s="69" t="str">
        <f>H85</f>
        <v>2eme F</v>
      </c>
      <c r="I186" s="69">
        <f>K90-J90+J95-K95+J99-K99</f>
        <v>0</v>
      </c>
      <c r="J186" s="681">
        <f>J85+3/10000000</f>
        <v>2.9999999999999999E-7</v>
      </c>
      <c r="K186" s="767"/>
      <c r="L186" s="76"/>
      <c r="M186" s="91">
        <f t="shared" ref="M186:M188" si="14">RANK(P186,$P$185:$P$188)</f>
        <v>2</v>
      </c>
      <c r="N186" s="69" t="str">
        <f>N85</f>
        <v>1er B</v>
      </c>
      <c r="O186" s="69">
        <f>Q90-P90+P95-Q95+P99-Q99</f>
        <v>0</v>
      </c>
      <c r="P186" s="681">
        <f>P85+3/10000000</f>
        <v>2.9999999999999999E-7</v>
      </c>
      <c r="Q186" s="767"/>
      <c r="R186" s="105"/>
      <c r="S186" s="86">
        <f t="shared" ref="S186:S188" si="15">RANK(V186,$V$185:$V$188)</f>
        <v>2</v>
      </c>
      <c r="T186" s="69" t="str">
        <f>T85</f>
        <v>1er F</v>
      </c>
      <c r="U186" s="69">
        <f>W90-V90+V95-W95+V99-W99</f>
        <v>0</v>
      </c>
      <c r="V186" s="681">
        <f>V85+3/10000000</f>
        <v>2.9999999999999999E-7</v>
      </c>
      <c r="W186" s="682"/>
    </row>
    <row r="187" spans="1:23" hidden="1" x14ac:dyDescent="0.25">
      <c r="A187" s="86">
        <f t="shared" si="12"/>
        <v>3</v>
      </c>
      <c r="B187" s="69" t="str">
        <f>B86</f>
        <v>1er C</v>
      </c>
      <c r="C187" s="69">
        <f>D91-E91+E94-D94+E99-D99</f>
        <v>0</v>
      </c>
      <c r="D187" s="681">
        <f>D86+2/10000000</f>
        <v>1.9999999999999999E-7</v>
      </c>
      <c r="E187" s="767"/>
      <c r="F187" s="774"/>
      <c r="G187" s="91">
        <f t="shared" si="13"/>
        <v>3</v>
      </c>
      <c r="H187" s="69" t="str">
        <f>H86</f>
        <v>1er G</v>
      </c>
      <c r="I187" s="69">
        <f>J91-K91+K94-J94+K99-J99</f>
        <v>0</v>
      </c>
      <c r="J187" s="681">
        <f>J86+2/10000000</f>
        <v>1.9999999999999999E-7</v>
      </c>
      <c r="K187" s="767"/>
      <c r="L187" s="76"/>
      <c r="M187" s="91">
        <f t="shared" si="14"/>
        <v>3</v>
      </c>
      <c r="N187" s="69" t="str">
        <f>N86</f>
        <v>2eme C</v>
      </c>
      <c r="O187" s="69">
        <f>P91-Q91+Q94-P94+Q99-P99</f>
        <v>0</v>
      </c>
      <c r="P187" s="681">
        <f>P86+2/10000000</f>
        <v>1.9999999999999999E-7</v>
      </c>
      <c r="Q187" s="767"/>
      <c r="R187" s="105"/>
      <c r="S187" s="86">
        <f t="shared" si="15"/>
        <v>3</v>
      </c>
      <c r="T187" s="69" t="str">
        <f>T86</f>
        <v>2eme G</v>
      </c>
      <c r="U187" s="69">
        <f>V91-W91+W94-V94+W99-V99</f>
        <v>0</v>
      </c>
      <c r="V187" s="681">
        <f>V86+2/10000000</f>
        <v>1.9999999999999999E-7</v>
      </c>
      <c r="W187" s="682"/>
    </row>
    <row r="188" spans="1:23" ht="15.75" hidden="1" thickBot="1" x14ac:dyDescent="0.3">
      <c r="A188" s="87">
        <f t="shared" si="12"/>
        <v>4</v>
      </c>
      <c r="B188" s="88" t="str">
        <f>B87</f>
        <v>1er D</v>
      </c>
      <c r="C188" s="88">
        <f>E91-D91+E95-D95+E98-D98</f>
        <v>0</v>
      </c>
      <c r="D188" s="709">
        <f>D87+1/10000000</f>
        <v>9.9999999999999995E-8</v>
      </c>
      <c r="E188" s="761"/>
      <c r="F188" s="775"/>
      <c r="G188" s="92">
        <f t="shared" si="13"/>
        <v>4</v>
      </c>
      <c r="H188" s="88" t="str">
        <f>H87</f>
        <v>1er H</v>
      </c>
      <c r="I188" s="88">
        <f>K91-J91+K95-J95+K98-J98</f>
        <v>0</v>
      </c>
      <c r="J188" s="709">
        <f>J87+1/10000000</f>
        <v>9.9999999999999995E-8</v>
      </c>
      <c r="K188" s="761"/>
      <c r="L188" s="78"/>
      <c r="M188" s="92">
        <f t="shared" si="14"/>
        <v>4</v>
      </c>
      <c r="N188" s="88" t="str">
        <f>N87</f>
        <v>2eme D</v>
      </c>
      <c r="O188" s="88">
        <f>Q91-P91+Q95-P95+Q98-P98</f>
        <v>0</v>
      </c>
      <c r="P188" s="709">
        <f>P87+1/10000000</f>
        <v>9.9999999999999995E-8</v>
      </c>
      <c r="Q188" s="761"/>
      <c r="R188" s="123"/>
      <c r="S188" s="87">
        <f t="shared" si="15"/>
        <v>4</v>
      </c>
      <c r="T188" s="88" t="str">
        <f>T87</f>
        <v>2eme H</v>
      </c>
      <c r="U188" s="88">
        <f>W91-V91+W95-V95+W98-V98</f>
        <v>0</v>
      </c>
      <c r="V188" s="709">
        <f>V87+1/10000000</f>
        <v>9.9999999999999995E-8</v>
      </c>
      <c r="W188" s="710"/>
    </row>
    <row r="189" spans="1:23" hidden="1" x14ac:dyDescent="0.25">
      <c r="A189" s="700"/>
      <c r="B189" s="700"/>
      <c r="C189" s="700"/>
      <c r="D189" s="700"/>
      <c r="E189" s="700"/>
      <c r="F189" s="700"/>
      <c r="G189" s="700"/>
      <c r="H189" s="700"/>
      <c r="I189" s="700"/>
      <c r="J189" s="700"/>
      <c r="K189" s="700"/>
      <c r="L189" s="700"/>
      <c r="M189" s="700"/>
      <c r="N189" s="700"/>
      <c r="O189" s="700"/>
      <c r="P189" s="700"/>
      <c r="Q189" s="700"/>
    </row>
    <row r="190" spans="1:23" hidden="1" x14ac:dyDescent="0.25">
      <c r="A190" s="1">
        <f>IF(D90="",0,(IF(D90&gt;E90,3,IF(D90=E90,1,0))))</f>
        <v>0</v>
      </c>
      <c r="B190" s="1">
        <f>IF(E90="",0,(IF(E90&gt;D90,3,IF(E90=D90,1,0))))</f>
        <v>0</v>
      </c>
      <c r="G190" s="1">
        <f>IF(J90="",0,(IF(J90&gt;K90,3,IF(J90=K90,1,0))))</f>
        <v>0</v>
      </c>
      <c r="H190" s="1">
        <f>IF(K90="",0,(IF(K90&gt;J90,3,IF(K90=J90,1,0))))</f>
        <v>0</v>
      </c>
      <c r="M190" s="1">
        <f>IF(P90="",0,(IF(P90&gt;Q90,3,IF(P90=Q90,1,0))))</f>
        <v>0</v>
      </c>
      <c r="N190" s="1">
        <f>IF(Q90="",0,(IF(Q90&gt;P90,3,IF(Q90=P90,1,0))))</f>
        <v>0</v>
      </c>
      <c r="S190" s="1">
        <f>IF(V90="",0,(IF(V90&gt;W90,3,IF(V90=W90,1,0))))</f>
        <v>0</v>
      </c>
      <c r="T190" s="1">
        <f>IF(W90="",0,(IF(W90&gt;V90,3,IF(W90=V90,1,0))))</f>
        <v>0</v>
      </c>
    </row>
    <row r="191" spans="1:23" hidden="1" x14ac:dyDescent="0.25">
      <c r="A191" s="1">
        <f>IF(D91="",0,(IF(D91&gt;E91,3,IF(D91=E91,1,0))))</f>
        <v>0</v>
      </c>
      <c r="B191" s="1">
        <f>IF(E91="",0,(IF(E91&gt;D91,3,IF(E91=D91,1,0))))</f>
        <v>0</v>
      </c>
      <c r="G191" s="1">
        <f>IF(J91="",0,(IF(J91&gt;K91,3,IF(J91=K91,1,0))))</f>
        <v>0</v>
      </c>
      <c r="H191" s="1">
        <f>IF(K91="",0,(IF(K91&gt;J91,3,IF(K91=J91,1,0))))</f>
        <v>0</v>
      </c>
      <c r="M191" s="1">
        <f>IF(P91="",0,(IF(P91&gt;Q91,3,IF(P91=Q91,1,0))))</f>
        <v>0</v>
      </c>
      <c r="N191" s="1">
        <f>IF(Q91="",0,(IF(Q91&gt;P91,3,IF(Q91=P91,1,0))))</f>
        <v>0</v>
      </c>
      <c r="S191" s="1">
        <f>IF(V91="",0,(IF(V91&gt;W91,3,IF(V91=W91,1,0))))</f>
        <v>0</v>
      </c>
      <c r="T191" s="1">
        <f>IF(W91="",0,(IF(W91&gt;V91,3,IF(W91=V91,1,0))))</f>
        <v>0</v>
      </c>
    </row>
    <row r="192" spans="1:23" hidden="1" x14ac:dyDescent="0.25"/>
    <row r="193" spans="1:20" hidden="1" x14ac:dyDescent="0.25"/>
    <row r="194" spans="1:20" hidden="1" x14ac:dyDescent="0.25">
      <c r="A194" s="1">
        <f>IF(D94="",0,(IF(D94&gt;E94,3,IF(D94=E94,1,0))))</f>
        <v>0</v>
      </c>
      <c r="B194" s="1">
        <f>IF(E94="",0,(IF(E94&gt;D94,3,IF(E94=D94,1,0))))</f>
        <v>0</v>
      </c>
      <c r="G194" s="1">
        <f>IF(J94="",0,(IF(J94&gt;K94,3,IF(J94=K94,1,0))))</f>
        <v>0</v>
      </c>
      <c r="H194" s="1">
        <f>IF(K94="",0,(IF(K94&gt;J94,3,IF(K94=J94,1,0))))</f>
        <v>0</v>
      </c>
      <c r="M194" s="1">
        <f>IF(P94="",0,(IF(P94&gt;Q94,3,IF(P94=Q94,1,0))))</f>
        <v>0</v>
      </c>
      <c r="N194" s="1">
        <f>IF(Q94="",0,(IF(Q94&gt;P94,3,IF(Q94=P94,1,0))))</f>
        <v>0</v>
      </c>
      <c r="S194" s="1">
        <f>IF(V94="",0,(IF(V94&gt;W94,3,IF(V94=W94,1,0))))</f>
        <v>0</v>
      </c>
      <c r="T194" s="1">
        <f>IF(W94="",0,(IF(W94&gt;V94,3,IF(W94=V94,1,0))))</f>
        <v>0</v>
      </c>
    </row>
    <row r="195" spans="1:20" hidden="1" x14ac:dyDescent="0.25">
      <c r="A195" s="1">
        <f>IF(D95="",0,(IF(D95&gt;E95,3,IF(D95=E95,1,0))))</f>
        <v>0</v>
      </c>
      <c r="B195" s="1">
        <f>IF(E95="",0,(IF(E95&gt;D95,3,IF(E95=D95,1,0))))</f>
        <v>0</v>
      </c>
      <c r="G195" s="1">
        <f>IF(J95="",0,(IF(J95&gt;K95,3,IF(J95=K95,1,0))))</f>
        <v>0</v>
      </c>
      <c r="H195" s="1">
        <f>IF(K95="",0,(IF(K95&gt;J95,3,IF(K95=J95,1,0))))</f>
        <v>0</v>
      </c>
      <c r="M195" s="1">
        <f>IF(P95="",0,(IF(P95&gt;Q95,3,IF(P95=Q95,1,0))))</f>
        <v>0</v>
      </c>
      <c r="N195" s="1">
        <f>IF(Q95="",0,(IF(Q95&gt;P95,3,IF(Q95=P95,1,0))))</f>
        <v>0</v>
      </c>
      <c r="S195" s="1">
        <f>IF(V95="",0,(IF(V95&gt;W95,3,IF(V95=W95,1,0))))</f>
        <v>0</v>
      </c>
      <c r="T195" s="1">
        <f>IF(W95="",0,(IF(W95&gt;V95,3,IF(W95=V95,1,0))))</f>
        <v>0</v>
      </c>
    </row>
    <row r="196" spans="1:20" hidden="1" x14ac:dyDescent="0.25"/>
    <row r="197" spans="1:20" hidden="1" x14ac:dyDescent="0.25"/>
    <row r="198" spans="1:20" hidden="1" x14ac:dyDescent="0.25">
      <c r="A198" s="1">
        <f>IF(D98="",0,(IF(D98&gt;E98,3,IF(D98=E98,1,0))))</f>
        <v>0</v>
      </c>
      <c r="B198" s="1">
        <f>IF(E98="",0,(IF(E98&gt;D98,3,IF(E98=D98,1,0))))</f>
        <v>0</v>
      </c>
      <c r="G198" s="1">
        <f>IF(J98="",0,(IF(J98&gt;K98,3,IF(J98=K98,1,0))))</f>
        <v>0</v>
      </c>
      <c r="H198" s="1">
        <f>IF(K98="",0,(IF(K98&gt;J98,3,IF(K98=J98,1,0))))</f>
        <v>0</v>
      </c>
      <c r="M198" s="1">
        <f>IF(P98="",0,(IF(P98&gt;Q98,3,IF(P98=Q98,1,0))))</f>
        <v>0</v>
      </c>
      <c r="N198" s="1">
        <f>IF(Q98="",0,(IF(Q98&gt;P98,3,IF(Q98=P98,1,0))))</f>
        <v>0</v>
      </c>
      <c r="S198" s="1">
        <f>IF(V98="",0,(IF(V98&gt;W98,3,IF(V98=W98,1,0))))</f>
        <v>0</v>
      </c>
      <c r="T198" s="1">
        <f>IF(W98="",0,(IF(W98&gt;V98,3,IF(W98=V98,1,0))))</f>
        <v>0</v>
      </c>
    </row>
    <row r="199" spans="1:20" hidden="1" x14ac:dyDescent="0.25">
      <c r="A199" s="1">
        <f>IF(D99="",0,(IF(D99&gt;E99,3,IF(D99=E99,1,0))))</f>
        <v>0</v>
      </c>
      <c r="B199" s="1">
        <f>IF(E99="",0,(IF(E99&gt;D99,3,IF(E99=D99,1,0))))</f>
        <v>0</v>
      </c>
      <c r="G199" s="1">
        <f>IF(J99="",0,(IF(J99&gt;K99,3,IF(J99=K99,1,0))))</f>
        <v>0</v>
      </c>
      <c r="H199" s="1">
        <f>IF(K99="",0,(IF(K99&gt;J99,3,IF(K99=J99,1,0))))</f>
        <v>0</v>
      </c>
      <c r="M199" s="1">
        <f>IF(P99="",0,(IF(P99&gt;Q99,3,IF(P99=Q99,1,0))))</f>
        <v>0</v>
      </c>
      <c r="N199" s="1">
        <f>IF(Q99="",0,(IF(Q99&gt;P99,3,IF(Q99=P99,1,0))))</f>
        <v>0</v>
      </c>
      <c r="S199" s="1">
        <f>IF(V99="",0,(IF(V99&gt;W99,3,IF(V99=W99,1,0))))</f>
        <v>0</v>
      </c>
      <c r="T199" s="1">
        <f>IF(W99="",0,(IF(W99&gt;V99,3,IF(W99=V99,1,0))))</f>
        <v>0</v>
      </c>
    </row>
    <row r="200" spans="1:20" hidden="1" x14ac:dyDescent="0.25"/>
    <row r="201" spans="1:20" hidden="1" x14ac:dyDescent="0.25"/>
    <row r="202" spans="1:20" hidden="1" x14ac:dyDescent="0.25"/>
    <row r="203" spans="1:20" hidden="1" x14ac:dyDescent="0.25"/>
    <row r="204" spans="1:20" hidden="1" x14ac:dyDescent="0.25"/>
    <row r="205" spans="1:20" hidden="1" x14ac:dyDescent="0.25"/>
    <row r="206" spans="1:20" hidden="1" x14ac:dyDescent="0.25"/>
    <row r="207" spans="1:20" hidden="1" x14ac:dyDescent="0.25"/>
  </sheetData>
  <sheetProtection sheet="1" scenarios="1" selectLockedCells="1"/>
  <mergeCells count="495">
    <mergeCell ref="A7:H7"/>
    <mergeCell ref="J7:L7"/>
    <mergeCell ref="O7:W7"/>
    <mergeCell ref="B9:C9"/>
    <mergeCell ref="D9:E9"/>
    <mergeCell ref="H9:I9"/>
    <mergeCell ref="J9:K9"/>
    <mergeCell ref="N9:O9"/>
    <mergeCell ref="A1:T1"/>
    <mergeCell ref="U1:W5"/>
    <mergeCell ref="E4:G4"/>
    <mergeCell ref="I4:K4"/>
    <mergeCell ref="L4:M4"/>
    <mergeCell ref="E5:G5"/>
    <mergeCell ref="L5:M5"/>
    <mergeCell ref="R5:S5"/>
    <mergeCell ref="P9:Q9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B11:C11"/>
    <mergeCell ref="D11:E11"/>
    <mergeCell ref="H11:I11"/>
    <mergeCell ref="J11:K11"/>
    <mergeCell ref="N11:O11"/>
    <mergeCell ref="P11:Q11"/>
    <mergeCell ref="T11:U11"/>
    <mergeCell ref="V11:W11"/>
    <mergeCell ref="T12:U12"/>
    <mergeCell ref="V12:W12"/>
    <mergeCell ref="B13:C13"/>
    <mergeCell ref="D13:E13"/>
    <mergeCell ref="H13:I13"/>
    <mergeCell ref="J13:K13"/>
    <mergeCell ref="N13:O13"/>
    <mergeCell ref="P13:Q13"/>
    <mergeCell ref="T13:U13"/>
    <mergeCell ref="V13:W13"/>
    <mergeCell ref="B12:C12"/>
    <mergeCell ref="D12:E12"/>
    <mergeCell ref="H12:I12"/>
    <mergeCell ref="J12:K12"/>
    <mergeCell ref="N12:O12"/>
    <mergeCell ref="P12:Q12"/>
    <mergeCell ref="N19:O19"/>
    <mergeCell ref="P19:Q19"/>
    <mergeCell ref="T19:U19"/>
    <mergeCell ref="V19:W19"/>
    <mergeCell ref="B15:C15"/>
    <mergeCell ref="D15:E15"/>
    <mergeCell ref="H15:I15"/>
    <mergeCell ref="J15:K15"/>
    <mergeCell ref="N15:O15"/>
    <mergeCell ref="P15:Q15"/>
    <mergeCell ref="T23:U23"/>
    <mergeCell ref="V23:W23"/>
    <mergeCell ref="A27:W27"/>
    <mergeCell ref="B28:C28"/>
    <mergeCell ref="D28:E28"/>
    <mergeCell ref="H28:I28"/>
    <mergeCell ref="J28:K28"/>
    <mergeCell ref="N28:O28"/>
    <mergeCell ref="P28:Q28"/>
    <mergeCell ref="T28:U28"/>
    <mergeCell ref="B23:C23"/>
    <mergeCell ref="D23:E23"/>
    <mergeCell ref="H23:I23"/>
    <mergeCell ref="J23:K23"/>
    <mergeCell ref="N23:O23"/>
    <mergeCell ref="P23:Q23"/>
    <mergeCell ref="V28:W28"/>
    <mergeCell ref="R8:R25"/>
    <mergeCell ref="T15:U15"/>
    <mergeCell ref="V15:W15"/>
    <mergeCell ref="B19:C19"/>
    <mergeCell ref="D19:E19"/>
    <mergeCell ref="H19:I19"/>
    <mergeCell ref="J19:K19"/>
    <mergeCell ref="B29:C29"/>
    <mergeCell ref="D29:E29"/>
    <mergeCell ref="H29:I29"/>
    <mergeCell ref="J29:K29"/>
    <mergeCell ref="N29:O29"/>
    <mergeCell ref="P29:Q29"/>
    <mergeCell ref="T29:U29"/>
    <mergeCell ref="V29:W29"/>
    <mergeCell ref="T30:U30"/>
    <mergeCell ref="V30:W30"/>
    <mergeCell ref="B31:C31"/>
    <mergeCell ref="D31:E31"/>
    <mergeCell ref="H31:I31"/>
    <mergeCell ref="J31:K31"/>
    <mergeCell ref="N31:O31"/>
    <mergeCell ref="P31:Q31"/>
    <mergeCell ref="T31:U31"/>
    <mergeCell ref="V31:W31"/>
    <mergeCell ref="B30:C30"/>
    <mergeCell ref="D30:E30"/>
    <mergeCell ref="H30:I30"/>
    <mergeCell ref="J30:K30"/>
    <mergeCell ref="N30:O30"/>
    <mergeCell ref="P30:Q30"/>
    <mergeCell ref="T32:U32"/>
    <mergeCell ref="V32:W32"/>
    <mergeCell ref="A33:W33"/>
    <mergeCell ref="B35:C35"/>
    <mergeCell ref="D35:E35"/>
    <mergeCell ref="H35:I35"/>
    <mergeCell ref="J35:K35"/>
    <mergeCell ref="N35:O35"/>
    <mergeCell ref="B32:C32"/>
    <mergeCell ref="D32:E32"/>
    <mergeCell ref="H32:I32"/>
    <mergeCell ref="J32:K32"/>
    <mergeCell ref="N32:O32"/>
    <mergeCell ref="P32:Q32"/>
    <mergeCell ref="P35:Q35"/>
    <mergeCell ref="T35:U35"/>
    <mergeCell ref="V35:W35"/>
    <mergeCell ref="A34:E34"/>
    <mergeCell ref="G34:K34"/>
    <mergeCell ref="M34:Q34"/>
    <mergeCell ref="S34:W34"/>
    <mergeCell ref="B36:C36"/>
    <mergeCell ref="D36:E36"/>
    <mergeCell ref="H36:I36"/>
    <mergeCell ref="J36:K36"/>
    <mergeCell ref="N36:O36"/>
    <mergeCell ref="P36:Q36"/>
    <mergeCell ref="T36:U36"/>
    <mergeCell ref="V36:W36"/>
    <mergeCell ref="B37:C37"/>
    <mergeCell ref="D37:E37"/>
    <mergeCell ref="H37:I37"/>
    <mergeCell ref="J37:K37"/>
    <mergeCell ref="N37:O37"/>
    <mergeCell ref="P37:Q37"/>
    <mergeCell ref="T37:U37"/>
    <mergeCell ref="V37:W37"/>
    <mergeCell ref="T38:U38"/>
    <mergeCell ref="V38:W38"/>
    <mergeCell ref="B39:C39"/>
    <mergeCell ref="D39:E39"/>
    <mergeCell ref="H39:I39"/>
    <mergeCell ref="J39:K39"/>
    <mergeCell ref="N39:O39"/>
    <mergeCell ref="P39:Q39"/>
    <mergeCell ref="T39:U39"/>
    <mergeCell ref="V39:W39"/>
    <mergeCell ref="B38:C38"/>
    <mergeCell ref="D38:E38"/>
    <mergeCell ref="H38:I38"/>
    <mergeCell ref="J38:K38"/>
    <mergeCell ref="N38:O38"/>
    <mergeCell ref="P38:Q38"/>
    <mergeCell ref="H45:I45"/>
    <mergeCell ref="J45:K45"/>
    <mergeCell ref="N45:O45"/>
    <mergeCell ref="P45:Q45"/>
    <mergeCell ref="T45:U45"/>
    <mergeCell ref="V45:W45"/>
    <mergeCell ref="B41:C41"/>
    <mergeCell ref="D41:E41"/>
    <mergeCell ref="H41:I41"/>
    <mergeCell ref="J41:K41"/>
    <mergeCell ref="N41:O41"/>
    <mergeCell ref="P41:Q41"/>
    <mergeCell ref="T49:U49"/>
    <mergeCell ref="V49:W49"/>
    <mergeCell ref="A53:W53"/>
    <mergeCell ref="B54:C54"/>
    <mergeCell ref="D54:E54"/>
    <mergeCell ref="H54:I54"/>
    <mergeCell ref="J54:K54"/>
    <mergeCell ref="N54:O54"/>
    <mergeCell ref="P54:Q54"/>
    <mergeCell ref="T54:U54"/>
    <mergeCell ref="B49:C49"/>
    <mergeCell ref="D49:E49"/>
    <mergeCell ref="H49:I49"/>
    <mergeCell ref="J49:K49"/>
    <mergeCell ref="N49:O49"/>
    <mergeCell ref="P49:Q49"/>
    <mergeCell ref="V54:W54"/>
    <mergeCell ref="F34:F51"/>
    <mergeCell ref="L34:L51"/>
    <mergeCell ref="R34:R51"/>
    <mergeCell ref="T41:U41"/>
    <mergeCell ref="V41:W41"/>
    <mergeCell ref="B45:C45"/>
    <mergeCell ref="D45:E45"/>
    <mergeCell ref="B55:C55"/>
    <mergeCell ref="D55:E55"/>
    <mergeCell ref="H55:I55"/>
    <mergeCell ref="J55:K55"/>
    <mergeCell ref="N55:O55"/>
    <mergeCell ref="P55:Q55"/>
    <mergeCell ref="T55:U55"/>
    <mergeCell ref="V55:W55"/>
    <mergeCell ref="T56:U56"/>
    <mergeCell ref="V56:W56"/>
    <mergeCell ref="B57:C57"/>
    <mergeCell ref="D57:E57"/>
    <mergeCell ref="H57:I57"/>
    <mergeCell ref="J57:K57"/>
    <mergeCell ref="N57:O57"/>
    <mergeCell ref="P57:Q57"/>
    <mergeCell ref="T57:U57"/>
    <mergeCell ref="V57:W57"/>
    <mergeCell ref="B56:C56"/>
    <mergeCell ref="D56:E56"/>
    <mergeCell ref="H56:I56"/>
    <mergeCell ref="J56:K56"/>
    <mergeCell ref="N56:O56"/>
    <mergeCell ref="P56:Q56"/>
    <mergeCell ref="B64:C64"/>
    <mergeCell ref="D64:E64"/>
    <mergeCell ref="H64:I64"/>
    <mergeCell ref="J64:K64"/>
    <mergeCell ref="N64:O64"/>
    <mergeCell ref="P64:Q64"/>
    <mergeCell ref="T64:U64"/>
    <mergeCell ref="V64:W64"/>
    <mergeCell ref="T58:U58"/>
    <mergeCell ref="V58:W58"/>
    <mergeCell ref="A59:W59"/>
    <mergeCell ref="A61:W61"/>
    <mergeCell ref="A62:H62"/>
    <mergeCell ref="J62:L62"/>
    <mergeCell ref="O62:W62"/>
    <mergeCell ref="B58:C58"/>
    <mergeCell ref="D58:E58"/>
    <mergeCell ref="H58:I58"/>
    <mergeCell ref="J58:K58"/>
    <mergeCell ref="N58:O58"/>
    <mergeCell ref="P58:Q58"/>
    <mergeCell ref="A60:W60"/>
    <mergeCell ref="A63:E63"/>
    <mergeCell ref="G63:K63"/>
    <mergeCell ref="T65:U65"/>
    <mergeCell ref="V65:W65"/>
    <mergeCell ref="B66:C66"/>
    <mergeCell ref="D66:E66"/>
    <mergeCell ref="H66:I66"/>
    <mergeCell ref="J66:K66"/>
    <mergeCell ref="N66:O66"/>
    <mergeCell ref="P66:Q66"/>
    <mergeCell ref="T66:U66"/>
    <mergeCell ref="V66:W66"/>
    <mergeCell ref="B65:C65"/>
    <mergeCell ref="D65:E65"/>
    <mergeCell ref="H65:I65"/>
    <mergeCell ref="J65:K65"/>
    <mergeCell ref="N65:O65"/>
    <mergeCell ref="P65:Q65"/>
    <mergeCell ref="T67:U67"/>
    <mergeCell ref="V67:W67"/>
    <mergeCell ref="B68:C68"/>
    <mergeCell ref="D68:E68"/>
    <mergeCell ref="H68:I68"/>
    <mergeCell ref="J68:K68"/>
    <mergeCell ref="N68:O68"/>
    <mergeCell ref="P68:Q68"/>
    <mergeCell ref="T68:U68"/>
    <mergeCell ref="V68:W68"/>
    <mergeCell ref="B67:C67"/>
    <mergeCell ref="D67:E67"/>
    <mergeCell ref="H67:I67"/>
    <mergeCell ref="J67:K67"/>
    <mergeCell ref="N67:O67"/>
    <mergeCell ref="P67:Q67"/>
    <mergeCell ref="N74:O74"/>
    <mergeCell ref="P74:Q74"/>
    <mergeCell ref="T74:U74"/>
    <mergeCell ref="V74:W74"/>
    <mergeCell ref="B70:C70"/>
    <mergeCell ref="D70:E70"/>
    <mergeCell ref="H70:I70"/>
    <mergeCell ref="J70:K70"/>
    <mergeCell ref="N70:O70"/>
    <mergeCell ref="P70:Q70"/>
    <mergeCell ref="A81:K81"/>
    <mergeCell ref="M81:W81"/>
    <mergeCell ref="B83:C83"/>
    <mergeCell ref="D83:E83"/>
    <mergeCell ref="H83:I83"/>
    <mergeCell ref="J83:K83"/>
    <mergeCell ref="N83:O83"/>
    <mergeCell ref="P83:Q83"/>
    <mergeCell ref="T78:U78"/>
    <mergeCell ref="V78:W78"/>
    <mergeCell ref="B78:C78"/>
    <mergeCell ref="D78:E78"/>
    <mergeCell ref="H78:I78"/>
    <mergeCell ref="J78:K78"/>
    <mergeCell ref="N78:O78"/>
    <mergeCell ref="P78:Q78"/>
    <mergeCell ref="L63:L80"/>
    <mergeCell ref="F63:F80"/>
    <mergeCell ref="T70:U70"/>
    <mergeCell ref="V70:W70"/>
    <mergeCell ref="B74:C74"/>
    <mergeCell ref="D74:E74"/>
    <mergeCell ref="H74:I74"/>
    <mergeCell ref="J74:K74"/>
    <mergeCell ref="T83:U83"/>
    <mergeCell ref="V83:W83"/>
    <mergeCell ref="B84:C84"/>
    <mergeCell ref="D84:E84"/>
    <mergeCell ref="H84:I84"/>
    <mergeCell ref="J84:K84"/>
    <mergeCell ref="N84:O84"/>
    <mergeCell ref="P84:Q84"/>
    <mergeCell ref="T84:U84"/>
    <mergeCell ref="V84:W84"/>
    <mergeCell ref="N86:O86"/>
    <mergeCell ref="P86:Q86"/>
    <mergeCell ref="T86:U86"/>
    <mergeCell ref="V86:W86"/>
    <mergeCell ref="B85:C85"/>
    <mergeCell ref="D85:E85"/>
    <mergeCell ref="H85:I85"/>
    <mergeCell ref="J85:K85"/>
    <mergeCell ref="N85:O85"/>
    <mergeCell ref="P85:Q85"/>
    <mergeCell ref="L82:L98"/>
    <mergeCell ref="F82:F99"/>
    <mergeCell ref="T87:U87"/>
    <mergeCell ref="V87:W87"/>
    <mergeCell ref="B89:C89"/>
    <mergeCell ref="D89:E89"/>
    <mergeCell ref="H89:I89"/>
    <mergeCell ref="J89:K89"/>
    <mergeCell ref="N89:O89"/>
    <mergeCell ref="P89:Q89"/>
    <mergeCell ref="T89:U89"/>
    <mergeCell ref="V89:W89"/>
    <mergeCell ref="B87:C87"/>
    <mergeCell ref="D87:E87"/>
    <mergeCell ref="H87:I87"/>
    <mergeCell ref="J87:K87"/>
    <mergeCell ref="N87:O87"/>
    <mergeCell ref="P87:Q87"/>
    <mergeCell ref="T85:U85"/>
    <mergeCell ref="V85:W85"/>
    <mergeCell ref="B86:C86"/>
    <mergeCell ref="D86:E86"/>
    <mergeCell ref="H86:I86"/>
    <mergeCell ref="J86:K86"/>
    <mergeCell ref="A100:W100"/>
    <mergeCell ref="A102:W102"/>
    <mergeCell ref="B103:C103"/>
    <mergeCell ref="D103:E103"/>
    <mergeCell ref="F103:F107"/>
    <mergeCell ref="H103:I103"/>
    <mergeCell ref="J103:K103"/>
    <mergeCell ref="N103:O103"/>
    <mergeCell ref="P103:Q103"/>
    <mergeCell ref="T103:U103"/>
    <mergeCell ref="D106:E106"/>
    <mergeCell ref="J106:K106"/>
    <mergeCell ref="P106:Q106"/>
    <mergeCell ref="V106:W106"/>
    <mergeCell ref="D107:E107"/>
    <mergeCell ref="J107:K107"/>
    <mergeCell ref="P107:Q107"/>
    <mergeCell ref="V107:W107"/>
    <mergeCell ref="V103:W103"/>
    <mergeCell ref="D104:E104"/>
    <mergeCell ref="J104:K104"/>
    <mergeCell ref="P104:Q104"/>
    <mergeCell ref="V104:W104"/>
    <mergeCell ref="D105:E105"/>
    <mergeCell ref="J105:K105"/>
    <mergeCell ref="P105:Q105"/>
    <mergeCell ref="V105:W105"/>
    <mergeCell ref="T129:U129"/>
    <mergeCell ref="V129:W129"/>
    <mergeCell ref="D130:E130"/>
    <mergeCell ref="J130:K130"/>
    <mergeCell ref="P130:Q130"/>
    <mergeCell ref="V130:W130"/>
    <mergeCell ref="A108:Q108"/>
    <mergeCell ref="A120:Q120"/>
    <mergeCell ref="A128:W128"/>
    <mergeCell ref="B129:C129"/>
    <mergeCell ref="D129:E129"/>
    <mergeCell ref="F129:F133"/>
    <mergeCell ref="H129:I129"/>
    <mergeCell ref="J129:K129"/>
    <mergeCell ref="N129:O129"/>
    <mergeCell ref="P129:Q129"/>
    <mergeCell ref="D133:E133"/>
    <mergeCell ref="J133:K133"/>
    <mergeCell ref="P133:Q133"/>
    <mergeCell ref="V133:W133"/>
    <mergeCell ref="A134:Q134"/>
    <mergeCell ref="A157:W157"/>
    <mergeCell ref="D131:E131"/>
    <mergeCell ref="J131:K131"/>
    <mergeCell ref="P131:Q131"/>
    <mergeCell ref="V131:W131"/>
    <mergeCell ref="D132:E132"/>
    <mergeCell ref="J132:K132"/>
    <mergeCell ref="P132:Q132"/>
    <mergeCell ref="V132:W132"/>
    <mergeCell ref="V161:W161"/>
    <mergeCell ref="P158:Q158"/>
    <mergeCell ref="T158:U158"/>
    <mergeCell ref="V158:W158"/>
    <mergeCell ref="D159:E159"/>
    <mergeCell ref="J159:K159"/>
    <mergeCell ref="P159:Q159"/>
    <mergeCell ref="V159:W159"/>
    <mergeCell ref="B158:C158"/>
    <mergeCell ref="D158:E158"/>
    <mergeCell ref="F158:F162"/>
    <mergeCell ref="H158:I158"/>
    <mergeCell ref="J158:K158"/>
    <mergeCell ref="N158:O158"/>
    <mergeCell ref="D160:E160"/>
    <mergeCell ref="J160:K160"/>
    <mergeCell ref="D162:E162"/>
    <mergeCell ref="J162:K162"/>
    <mergeCell ref="P160:Q160"/>
    <mergeCell ref="V160:W160"/>
    <mergeCell ref="D161:E161"/>
    <mergeCell ref="J161:K161"/>
    <mergeCell ref="P161:Q161"/>
    <mergeCell ref="A189:Q189"/>
    <mergeCell ref="A8:E8"/>
    <mergeCell ref="G8:K8"/>
    <mergeCell ref="F8:F25"/>
    <mergeCell ref="M8:Q8"/>
    <mergeCell ref="S8:W8"/>
    <mergeCell ref="D186:E186"/>
    <mergeCell ref="J186:K186"/>
    <mergeCell ref="P186:Q186"/>
    <mergeCell ref="V186:W186"/>
    <mergeCell ref="D187:E187"/>
    <mergeCell ref="J187:K187"/>
    <mergeCell ref="P187:Q187"/>
    <mergeCell ref="V187:W187"/>
    <mergeCell ref="P184:Q184"/>
    <mergeCell ref="T184:U184"/>
    <mergeCell ref="V184:W184"/>
    <mergeCell ref="D185:E185"/>
    <mergeCell ref="J185:K185"/>
    <mergeCell ref="P185:Q185"/>
    <mergeCell ref="V185:W185"/>
    <mergeCell ref="P162:Q162"/>
    <mergeCell ref="V162:W162"/>
    <mergeCell ref="A163:Q163"/>
    <mergeCell ref="D188:E188"/>
    <mergeCell ref="J188:K188"/>
    <mergeCell ref="P188:Q188"/>
    <mergeCell ref="V188:W188"/>
    <mergeCell ref="A183:W183"/>
    <mergeCell ref="B184:C184"/>
    <mergeCell ref="D184:E184"/>
    <mergeCell ref="F184:F188"/>
    <mergeCell ref="H184:I184"/>
    <mergeCell ref="J184:K184"/>
    <mergeCell ref="N184:O184"/>
    <mergeCell ref="M63:Q63"/>
    <mergeCell ref="S63:W63"/>
    <mergeCell ref="A82:E82"/>
    <mergeCell ref="G82:K82"/>
    <mergeCell ref="M82:Q82"/>
    <mergeCell ref="S82:W82"/>
    <mergeCell ref="R82:R99"/>
    <mergeCell ref="R63:R80"/>
    <mergeCell ref="T93:U93"/>
    <mergeCell ref="V93:W93"/>
    <mergeCell ref="B97:C97"/>
    <mergeCell ref="D97:E97"/>
    <mergeCell ref="H97:I97"/>
    <mergeCell ref="J97:K97"/>
    <mergeCell ref="N97:O97"/>
    <mergeCell ref="P97:Q97"/>
    <mergeCell ref="T97:U97"/>
    <mergeCell ref="V97:W97"/>
    <mergeCell ref="B93:C93"/>
    <mergeCell ref="D93:E93"/>
    <mergeCell ref="H93:I93"/>
    <mergeCell ref="J93:K93"/>
    <mergeCell ref="N93:O93"/>
    <mergeCell ref="P93:Q93"/>
  </mergeCells>
  <printOptions horizontalCentered="1"/>
  <pageMargins left="0.11811023622047245" right="0.11811023622047245" top="0.15748031496062992" bottom="0.15748031496062992" header="0.19685039370078741" footer="0.31496062992125984"/>
  <pageSetup paperSize="9" scale="64" fitToHeight="2" orientation="landscape" horizontalDpi="300" verticalDpi="300" r:id="rId1"/>
  <rowBreaks count="1" manualBreakCount="1">
    <brk id="60" max="22" man="1"/>
  </rowBreaks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X206"/>
  <sheetViews>
    <sheetView showGridLines="0" zoomScaleNormal="10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5.570312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5.570312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5.570312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329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811"/>
      <c r="V1" s="812"/>
      <c r="W1" s="813"/>
    </row>
    <row r="2" spans="1:23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814"/>
      <c r="V2" s="815"/>
      <c r="W2" s="816"/>
    </row>
    <row r="3" spans="1:23" ht="24.95" customHeight="1" thickBot="1" x14ac:dyDescent="0.3">
      <c r="A3" s="263" t="s">
        <v>299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814"/>
      <c r="V3" s="815"/>
      <c r="W3" s="816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0.39583333333333331</v>
      </c>
      <c r="F4" s="739"/>
      <c r="G4" s="740"/>
      <c r="H4" s="523"/>
      <c r="I4" s="741" t="s">
        <v>54</v>
      </c>
      <c r="J4" s="741"/>
      <c r="K4" s="741"/>
      <c r="L4" s="742">
        <f>(3*J6)+(3*J61)</f>
        <v>0.05</v>
      </c>
      <c r="M4" s="742"/>
      <c r="N4" s="264" t="s">
        <v>33</v>
      </c>
      <c r="O4" s="319"/>
      <c r="P4" s="200"/>
      <c r="Q4" s="200"/>
      <c r="R4" s="200"/>
      <c r="S4" s="200"/>
      <c r="T4" s="201"/>
      <c r="U4" s="814"/>
      <c r="V4" s="815"/>
      <c r="W4" s="816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S98-A15+J61</f>
        <v>0.28958333333333308</v>
      </c>
      <c r="F5" s="810"/>
      <c r="G5" s="810"/>
      <c r="H5" s="215"/>
      <c r="I5" s="216" t="s">
        <v>79</v>
      </c>
      <c r="J5" s="216"/>
      <c r="K5" s="216"/>
      <c r="L5" s="687">
        <v>4.3750000000000004E-2</v>
      </c>
      <c r="M5" s="688"/>
      <c r="N5" s="215"/>
      <c r="O5" s="216" t="s">
        <v>242</v>
      </c>
      <c r="P5" s="216"/>
      <c r="Q5" s="216"/>
      <c r="R5" s="687">
        <v>2.0833333333333333E-3</v>
      </c>
      <c r="S5" s="688"/>
      <c r="T5" s="320"/>
      <c r="U5" s="817"/>
      <c r="V5" s="818"/>
      <c r="W5" s="819"/>
    </row>
    <row r="6" spans="1:23" ht="21.75" thickBot="1" x14ac:dyDescent="0.4">
      <c r="A6" s="1141" t="s">
        <v>35</v>
      </c>
      <c r="B6" s="1142"/>
      <c r="C6" s="1142"/>
      <c r="D6" s="1142"/>
      <c r="E6" s="1142"/>
      <c r="F6" s="1142"/>
      <c r="G6" s="1142"/>
      <c r="H6" s="1142"/>
      <c r="I6" s="520" t="s">
        <v>18</v>
      </c>
      <c r="J6" s="782">
        <v>8.3333333333333332E-3</v>
      </c>
      <c r="K6" s="782"/>
      <c r="L6" s="782"/>
      <c r="M6" s="527" t="s">
        <v>17</v>
      </c>
      <c r="N6" s="520"/>
      <c r="O6" s="686"/>
      <c r="P6" s="686"/>
      <c r="Q6" s="686"/>
      <c r="R6" s="686"/>
      <c r="S6" s="686"/>
      <c r="T6" s="686"/>
      <c r="U6" s="686"/>
      <c r="V6" s="686"/>
      <c r="W6" s="781"/>
    </row>
    <row r="7" spans="1:23" ht="16.5" thickBot="1" x14ac:dyDescent="0.3">
      <c r="A7" s="780" t="s">
        <v>87</v>
      </c>
      <c r="B7" s="686"/>
      <c r="C7" s="686"/>
      <c r="D7" s="686"/>
      <c r="E7" s="686"/>
      <c r="F7" s="686"/>
      <c r="G7" s="686"/>
      <c r="H7" s="686"/>
      <c r="I7" s="686"/>
      <c r="J7" s="686"/>
      <c r="K7" s="781"/>
      <c r="L7" s="567"/>
      <c r="M7" s="780" t="s">
        <v>88</v>
      </c>
      <c r="N7" s="686"/>
      <c r="O7" s="686"/>
      <c r="P7" s="686"/>
      <c r="Q7" s="686"/>
      <c r="R7" s="686"/>
      <c r="S7" s="686"/>
      <c r="T7" s="686"/>
      <c r="U7" s="686"/>
      <c r="V7" s="686"/>
      <c r="W7" s="781"/>
    </row>
    <row r="8" spans="1:23" ht="15" customHeight="1" x14ac:dyDescent="0.25">
      <c r="A8" s="6"/>
      <c r="B8" s="744" t="s">
        <v>41</v>
      </c>
      <c r="C8" s="1173"/>
      <c r="D8" s="744" t="s">
        <v>15</v>
      </c>
      <c r="E8" s="746"/>
      <c r="F8" s="577"/>
      <c r="G8" s="7"/>
      <c r="H8" s="747" t="s">
        <v>42</v>
      </c>
      <c r="I8" s="1172"/>
      <c r="J8" s="747" t="s">
        <v>15</v>
      </c>
      <c r="K8" s="749"/>
      <c r="L8" s="85"/>
      <c r="M8" s="8"/>
      <c r="N8" s="852" t="s">
        <v>43</v>
      </c>
      <c r="O8" s="918"/>
      <c r="P8" s="852" t="s">
        <v>15</v>
      </c>
      <c r="Q8" s="853"/>
      <c r="R8" s="577"/>
      <c r="S8" s="9"/>
      <c r="T8" s="850" t="s">
        <v>55</v>
      </c>
      <c r="U8" s="1167"/>
      <c r="V8" s="850" t="s">
        <v>15</v>
      </c>
      <c r="W8" s="851"/>
    </row>
    <row r="9" spans="1:23" ht="15" customHeight="1" x14ac:dyDescent="0.25">
      <c r="A9" s="10">
        <v>1</v>
      </c>
      <c r="B9" s="731" t="s">
        <v>22</v>
      </c>
      <c r="C9" s="884"/>
      <c r="D9" s="725">
        <f>A108+A112+A116+C103/1000000</f>
        <v>0</v>
      </c>
      <c r="E9" s="726"/>
      <c r="F9" s="577"/>
      <c r="G9" s="11">
        <v>1</v>
      </c>
      <c r="H9" s="727" t="s">
        <v>26</v>
      </c>
      <c r="I9" s="885"/>
      <c r="J9" s="729">
        <f>G108+G112+G116+I103/1000000</f>
        <v>0</v>
      </c>
      <c r="K9" s="730"/>
      <c r="L9" s="85"/>
      <c r="M9" s="12">
        <v>1</v>
      </c>
      <c r="N9" s="800" t="s">
        <v>37</v>
      </c>
      <c r="O9" s="1166"/>
      <c r="P9" s="802">
        <f>M108+M112+M116+O103/1000000</f>
        <v>0</v>
      </c>
      <c r="Q9" s="803"/>
      <c r="R9" s="577"/>
      <c r="S9" s="13">
        <v>1</v>
      </c>
      <c r="T9" s="796" t="s">
        <v>56</v>
      </c>
      <c r="U9" s="1163"/>
      <c r="V9" s="798">
        <f>S108+S112+S116+U103/1000000</f>
        <v>0</v>
      </c>
      <c r="W9" s="799"/>
    </row>
    <row r="10" spans="1:23" ht="15" customHeight="1" x14ac:dyDescent="0.25">
      <c r="A10" s="10">
        <v>2</v>
      </c>
      <c r="B10" s="731" t="s">
        <v>23</v>
      </c>
      <c r="C10" s="884"/>
      <c r="D10" s="725">
        <f>B108+A113+A117+C104/1000000</f>
        <v>0</v>
      </c>
      <c r="E10" s="726"/>
      <c r="F10" s="577"/>
      <c r="G10" s="11">
        <v>2</v>
      </c>
      <c r="H10" s="727" t="s">
        <v>27</v>
      </c>
      <c r="I10" s="885"/>
      <c r="J10" s="729">
        <f>H108+G113+G117+I104/1000000</f>
        <v>0</v>
      </c>
      <c r="K10" s="730"/>
      <c r="L10" s="85"/>
      <c r="M10" s="12">
        <v>2</v>
      </c>
      <c r="N10" s="800" t="s">
        <v>38</v>
      </c>
      <c r="O10" s="1166"/>
      <c r="P10" s="802">
        <f>N108+M113+M117+O104/1000000</f>
        <v>0</v>
      </c>
      <c r="Q10" s="803"/>
      <c r="R10" s="577"/>
      <c r="S10" s="13">
        <v>2</v>
      </c>
      <c r="T10" s="796" t="s">
        <v>57</v>
      </c>
      <c r="U10" s="1163"/>
      <c r="V10" s="798">
        <f>T108+S113+S117+U104/1000000</f>
        <v>0</v>
      </c>
      <c r="W10" s="799"/>
    </row>
    <row r="11" spans="1:23" ht="15" customHeight="1" x14ac:dyDescent="0.25">
      <c r="A11" s="10">
        <v>3</v>
      </c>
      <c r="B11" s="731" t="s">
        <v>24</v>
      </c>
      <c r="C11" s="884"/>
      <c r="D11" s="725">
        <f>A109+B112+B117+C105/1000000</f>
        <v>0</v>
      </c>
      <c r="E11" s="726"/>
      <c r="F11" s="577"/>
      <c r="G11" s="11">
        <v>3</v>
      </c>
      <c r="H11" s="727" t="s">
        <v>28</v>
      </c>
      <c r="I11" s="885"/>
      <c r="J11" s="729">
        <f>G109+H112+H117+I105/1000000</f>
        <v>0</v>
      </c>
      <c r="K11" s="730"/>
      <c r="L11" s="85"/>
      <c r="M11" s="12">
        <v>3</v>
      </c>
      <c r="N11" s="800" t="s">
        <v>39</v>
      </c>
      <c r="O11" s="1166"/>
      <c r="P11" s="802">
        <f>M109+N112+N117+O105/1000000</f>
        <v>0</v>
      </c>
      <c r="Q11" s="803"/>
      <c r="R11" s="577"/>
      <c r="S11" s="13">
        <v>3</v>
      </c>
      <c r="T11" s="796" t="s">
        <v>58</v>
      </c>
      <c r="U11" s="1163"/>
      <c r="V11" s="798">
        <f>S109+T112+T117+U105/1000000</f>
        <v>0</v>
      </c>
      <c r="W11" s="799"/>
    </row>
    <row r="12" spans="1:23" ht="15.75" customHeight="1" thickBot="1" x14ac:dyDescent="0.3">
      <c r="A12" s="15">
        <v>4</v>
      </c>
      <c r="B12" s="717" t="s">
        <v>25</v>
      </c>
      <c r="C12" s="1169"/>
      <c r="D12" s="719">
        <f>B109+B113+B116+C106/1000000</f>
        <v>0</v>
      </c>
      <c r="E12" s="720"/>
      <c r="F12" s="577"/>
      <c r="G12" s="16">
        <v>4</v>
      </c>
      <c r="H12" s="721" t="s">
        <v>29</v>
      </c>
      <c r="I12" s="1170"/>
      <c r="J12" s="723">
        <f>H109+H113+H116+I106/1000000</f>
        <v>0</v>
      </c>
      <c r="K12" s="724"/>
      <c r="L12" s="85"/>
      <c r="M12" s="17">
        <v>4</v>
      </c>
      <c r="N12" s="792" t="s">
        <v>40</v>
      </c>
      <c r="O12" s="1171"/>
      <c r="P12" s="794">
        <f>N109+N113+N116+O106/1000000</f>
        <v>0</v>
      </c>
      <c r="Q12" s="795"/>
      <c r="R12" s="577"/>
      <c r="S12" s="18">
        <v>4</v>
      </c>
      <c r="T12" s="788" t="s">
        <v>59</v>
      </c>
      <c r="U12" s="1168"/>
      <c r="V12" s="790">
        <f>T109+T113+T116+U106/1000000</f>
        <v>0</v>
      </c>
      <c r="W12" s="791"/>
    </row>
    <row r="13" spans="1:23" ht="5.0999999999999996" customHeight="1" thickBot="1" x14ac:dyDescent="0.3">
      <c r="A13" s="19"/>
      <c r="B13" s="2"/>
      <c r="C13" s="2"/>
      <c r="D13" s="2"/>
      <c r="E13" s="21"/>
      <c r="F13" s="577"/>
      <c r="G13" s="19"/>
      <c r="H13" s="2"/>
      <c r="I13" s="22"/>
      <c r="J13" s="2"/>
      <c r="K13" s="21"/>
      <c r="L13" s="85"/>
      <c r="M13" s="19"/>
      <c r="N13" s="2"/>
      <c r="O13" s="2"/>
      <c r="P13" s="2"/>
      <c r="Q13" s="21"/>
      <c r="R13" s="577"/>
      <c r="S13" s="19"/>
      <c r="T13" s="2"/>
      <c r="U13" s="2"/>
      <c r="V13" s="2"/>
      <c r="W13" s="21"/>
    </row>
    <row r="14" spans="1:23" s="29" customFormat="1" ht="15" customHeight="1" x14ac:dyDescent="0.25">
      <c r="A14" s="24"/>
      <c r="B14" s="1086" t="s">
        <v>5</v>
      </c>
      <c r="C14" s="1160"/>
      <c r="D14" s="1086" t="s">
        <v>16</v>
      </c>
      <c r="E14" s="1161"/>
      <c r="F14" s="577"/>
      <c r="G14" s="26"/>
      <c r="H14" s="883" t="s">
        <v>5</v>
      </c>
      <c r="I14" s="1080"/>
      <c r="J14" s="883" t="s">
        <v>16</v>
      </c>
      <c r="K14" s="1162"/>
      <c r="L14" s="99"/>
      <c r="M14" s="27"/>
      <c r="N14" s="1042" t="s">
        <v>5</v>
      </c>
      <c r="O14" s="1111"/>
      <c r="P14" s="1042" t="s">
        <v>16</v>
      </c>
      <c r="Q14" s="1112"/>
      <c r="R14" s="577"/>
      <c r="S14" s="28"/>
      <c r="T14" s="1108" t="s">
        <v>5</v>
      </c>
      <c r="U14" s="1109"/>
      <c r="V14" s="1108" t="s">
        <v>16</v>
      </c>
      <c r="W14" s="1110"/>
    </row>
    <row r="15" spans="1:23" ht="15" customHeight="1" x14ac:dyDescent="0.25">
      <c r="A15" s="30">
        <f>E4</f>
        <v>0.39583333333333331</v>
      </c>
      <c r="B15" s="31" t="str">
        <f>B9</f>
        <v>Equipe 1</v>
      </c>
      <c r="C15" s="31" t="str">
        <f>B10</f>
        <v>Equipe 2</v>
      </c>
      <c r="D15" s="53"/>
      <c r="E15" s="54"/>
      <c r="F15" s="577"/>
      <c r="G15" s="32">
        <f>A16+J6+R5</f>
        <v>0.41666666666666669</v>
      </c>
      <c r="H15" s="33" t="str">
        <f>H9</f>
        <v>Equipe 5</v>
      </c>
      <c r="I15" s="33" t="str">
        <f>H10</f>
        <v>Equipe 6</v>
      </c>
      <c r="J15" s="57"/>
      <c r="K15" s="58"/>
      <c r="L15" s="85"/>
      <c r="M15" s="34">
        <f>E4</f>
        <v>0.39583333333333331</v>
      </c>
      <c r="N15" s="35" t="str">
        <f>N9</f>
        <v>Equipe 9</v>
      </c>
      <c r="O15" s="35" t="str">
        <f>N10</f>
        <v>Equipe 10</v>
      </c>
      <c r="P15" s="61"/>
      <c r="Q15" s="62"/>
      <c r="R15" s="577"/>
      <c r="S15" s="36">
        <f>M16+J6+R5</f>
        <v>0.41666666666666669</v>
      </c>
      <c r="T15" s="37" t="str">
        <f>T9</f>
        <v>Equipe 13</v>
      </c>
      <c r="U15" s="37" t="str">
        <f>T10</f>
        <v>Equipe 14</v>
      </c>
      <c r="V15" s="65"/>
      <c r="W15" s="66"/>
    </row>
    <row r="16" spans="1:23" ht="15.75" customHeight="1" thickBot="1" x14ac:dyDescent="0.3">
      <c r="A16" s="38">
        <f>A15+$J$6+R5</f>
        <v>0.40625</v>
      </c>
      <c r="B16" s="39" t="str">
        <f>B11</f>
        <v>Equipe 3</v>
      </c>
      <c r="C16" s="39" t="str">
        <f>B12</f>
        <v>Equipe 4</v>
      </c>
      <c r="D16" s="55"/>
      <c r="E16" s="56"/>
      <c r="F16" s="577"/>
      <c r="G16" s="40">
        <f>G15+J6+R5</f>
        <v>0.42708333333333337</v>
      </c>
      <c r="H16" s="41" t="str">
        <f>H11</f>
        <v>Equipe 7</v>
      </c>
      <c r="I16" s="41" t="str">
        <f>H12</f>
        <v>Equipe 8</v>
      </c>
      <c r="J16" s="59"/>
      <c r="K16" s="60"/>
      <c r="L16" s="85"/>
      <c r="M16" s="42">
        <f>M15+$J$6+R5</f>
        <v>0.40625</v>
      </c>
      <c r="N16" s="43" t="str">
        <f>N11</f>
        <v>Equipe 11</v>
      </c>
      <c r="O16" s="43" t="str">
        <f>N12</f>
        <v>Equipe 12</v>
      </c>
      <c r="P16" s="63"/>
      <c r="Q16" s="64"/>
      <c r="R16" s="577"/>
      <c r="S16" s="44">
        <f>S15+$J$6+R5</f>
        <v>0.42708333333333337</v>
      </c>
      <c r="T16" s="45" t="str">
        <f>T11</f>
        <v>Equipe 15</v>
      </c>
      <c r="U16" s="45" t="str">
        <f>T12</f>
        <v>Equipe 16</v>
      </c>
      <c r="V16" s="67"/>
      <c r="W16" s="68"/>
    </row>
    <row r="17" spans="1:23" ht="5.0999999999999996" customHeight="1" thickBot="1" x14ac:dyDescent="0.3">
      <c r="A17" s="19"/>
      <c r="B17" s="2"/>
      <c r="C17" s="2"/>
      <c r="D17" s="521"/>
      <c r="E17" s="522"/>
      <c r="F17" s="577"/>
      <c r="G17" s="19"/>
      <c r="H17" s="2"/>
      <c r="I17" s="47"/>
      <c r="J17" s="521"/>
      <c r="K17" s="522"/>
      <c r="L17" s="85"/>
      <c r="M17" s="19"/>
      <c r="N17" s="2"/>
      <c r="O17" s="2"/>
      <c r="P17" s="521"/>
      <c r="Q17" s="522"/>
      <c r="R17" s="577"/>
      <c r="S17" s="19"/>
      <c r="T17" s="2"/>
      <c r="U17" s="2"/>
      <c r="V17" s="521"/>
      <c r="W17" s="522"/>
    </row>
    <row r="18" spans="1:23" s="29" customFormat="1" ht="15" customHeight="1" x14ac:dyDescent="0.25">
      <c r="A18" s="24"/>
      <c r="B18" s="1086" t="s">
        <v>6</v>
      </c>
      <c r="C18" s="1160"/>
      <c r="D18" s="1086" t="s">
        <v>16</v>
      </c>
      <c r="E18" s="1161"/>
      <c r="F18" s="577"/>
      <c r="G18" s="26"/>
      <c r="H18" s="883" t="s">
        <v>6</v>
      </c>
      <c r="I18" s="1080"/>
      <c r="J18" s="883" t="s">
        <v>16</v>
      </c>
      <c r="K18" s="1162"/>
      <c r="L18" s="99"/>
      <c r="M18" s="27"/>
      <c r="N18" s="1042" t="s">
        <v>6</v>
      </c>
      <c r="O18" s="1111"/>
      <c r="P18" s="1042" t="s">
        <v>16</v>
      </c>
      <c r="Q18" s="1112"/>
      <c r="R18" s="577"/>
      <c r="S18" s="28"/>
      <c r="T18" s="1108" t="s">
        <v>6</v>
      </c>
      <c r="U18" s="1109"/>
      <c r="V18" s="1108" t="s">
        <v>16</v>
      </c>
      <c r="W18" s="1110"/>
    </row>
    <row r="19" spans="1:23" ht="15" customHeight="1" x14ac:dyDescent="0.25">
      <c r="A19" s="30">
        <f>G16+J6+R5</f>
        <v>0.43750000000000006</v>
      </c>
      <c r="B19" s="31" t="str">
        <f>B9</f>
        <v>Equipe 1</v>
      </c>
      <c r="C19" s="31" t="str">
        <f>B11</f>
        <v>Equipe 3</v>
      </c>
      <c r="D19" s="53"/>
      <c r="E19" s="54"/>
      <c r="F19" s="577"/>
      <c r="G19" s="32">
        <f>A20+J6+R5</f>
        <v>0.45833333333333343</v>
      </c>
      <c r="H19" s="33" t="str">
        <f>H9</f>
        <v>Equipe 5</v>
      </c>
      <c r="I19" s="33" t="str">
        <f>H11</f>
        <v>Equipe 7</v>
      </c>
      <c r="J19" s="57"/>
      <c r="K19" s="58"/>
      <c r="L19" s="85"/>
      <c r="M19" s="34">
        <f>S16+$J$6+R5</f>
        <v>0.43750000000000006</v>
      </c>
      <c r="N19" s="35" t="str">
        <f>N9</f>
        <v>Equipe 9</v>
      </c>
      <c r="O19" s="35" t="str">
        <f>N11</f>
        <v>Equipe 11</v>
      </c>
      <c r="P19" s="61"/>
      <c r="Q19" s="62"/>
      <c r="R19" s="577"/>
      <c r="S19" s="36">
        <f>M20+J6+R5</f>
        <v>0.45833333333333343</v>
      </c>
      <c r="T19" s="37" t="str">
        <f>T9</f>
        <v>Equipe 13</v>
      </c>
      <c r="U19" s="37" t="str">
        <f>T11</f>
        <v>Equipe 15</v>
      </c>
      <c r="V19" s="65"/>
      <c r="W19" s="66"/>
    </row>
    <row r="20" spans="1:23" ht="15.75" customHeight="1" thickBot="1" x14ac:dyDescent="0.3">
      <c r="A20" s="38">
        <f>A19+$J$6+R5</f>
        <v>0.44791666666666674</v>
      </c>
      <c r="B20" s="39" t="str">
        <f>B10</f>
        <v>Equipe 2</v>
      </c>
      <c r="C20" s="39" t="str">
        <f>B12</f>
        <v>Equipe 4</v>
      </c>
      <c r="D20" s="55"/>
      <c r="E20" s="56"/>
      <c r="F20" s="577"/>
      <c r="G20" s="32">
        <f>G19+J6+R5</f>
        <v>0.46875000000000011</v>
      </c>
      <c r="H20" s="41" t="str">
        <f>H10</f>
        <v>Equipe 6</v>
      </c>
      <c r="I20" s="41" t="str">
        <f>H12</f>
        <v>Equipe 8</v>
      </c>
      <c r="J20" s="59"/>
      <c r="K20" s="60"/>
      <c r="L20" s="85"/>
      <c r="M20" s="42">
        <f>M19+$J$6+R5</f>
        <v>0.44791666666666674</v>
      </c>
      <c r="N20" s="43" t="str">
        <f>N10</f>
        <v>Equipe 10</v>
      </c>
      <c r="O20" s="43" t="str">
        <f>N12</f>
        <v>Equipe 12</v>
      </c>
      <c r="P20" s="63"/>
      <c r="Q20" s="64"/>
      <c r="R20" s="577"/>
      <c r="S20" s="44">
        <f>S19+$J$6+R5</f>
        <v>0.46875000000000011</v>
      </c>
      <c r="T20" s="45" t="str">
        <f>T10</f>
        <v>Equipe 14</v>
      </c>
      <c r="U20" s="45" t="str">
        <f>T12</f>
        <v>Equipe 16</v>
      </c>
      <c r="V20" s="67"/>
      <c r="W20" s="68"/>
    </row>
    <row r="21" spans="1:23" ht="5.0999999999999996" customHeight="1" thickBot="1" x14ac:dyDescent="0.3">
      <c r="A21" s="19"/>
      <c r="B21" s="2"/>
      <c r="C21" s="2"/>
      <c r="D21" s="521"/>
      <c r="E21" s="522"/>
      <c r="F21" s="577"/>
      <c r="G21" s="19"/>
      <c r="H21" s="2"/>
      <c r="I21" s="47"/>
      <c r="J21" s="521"/>
      <c r="K21" s="522"/>
      <c r="L21" s="85"/>
      <c r="M21" s="19"/>
      <c r="N21" s="2"/>
      <c r="O21" s="2"/>
      <c r="P21" s="521"/>
      <c r="Q21" s="522"/>
      <c r="R21" s="577"/>
      <c r="S21" s="19"/>
      <c r="T21" s="2"/>
      <c r="U21" s="2"/>
      <c r="V21" s="521"/>
      <c r="W21" s="522"/>
    </row>
    <row r="22" spans="1:23" s="29" customFormat="1" ht="15" customHeight="1" x14ac:dyDescent="0.25">
      <c r="A22" s="24"/>
      <c r="B22" s="1086" t="s">
        <v>7</v>
      </c>
      <c r="C22" s="1160"/>
      <c r="D22" s="1086" t="s">
        <v>16</v>
      </c>
      <c r="E22" s="1161"/>
      <c r="F22" s="577"/>
      <c r="G22" s="26"/>
      <c r="H22" s="883" t="s">
        <v>7</v>
      </c>
      <c r="I22" s="1080"/>
      <c r="J22" s="883" t="s">
        <v>16</v>
      </c>
      <c r="K22" s="1162"/>
      <c r="L22" s="99"/>
      <c r="M22" s="27"/>
      <c r="N22" s="1042" t="s">
        <v>7</v>
      </c>
      <c r="O22" s="1111"/>
      <c r="P22" s="1042" t="s">
        <v>16</v>
      </c>
      <c r="Q22" s="1112"/>
      <c r="R22" s="577"/>
      <c r="S22" s="28"/>
      <c r="T22" s="1108" t="s">
        <v>7</v>
      </c>
      <c r="U22" s="1109"/>
      <c r="V22" s="1108" t="s">
        <v>16</v>
      </c>
      <c r="W22" s="1110"/>
    </row>
    <row r="23" spans="1:23" ht="15" customHeight="1" x14ac:dyDescent="0.25">
      <c r="A23" s="30">
        <f>G20+$J$6+R5</f>
        <v>0.4791666666666668</v>
      </c>
      <c r="B23" s="31" t="str">
        <f>B9</f>
        <v>Equipe 1</v>
      </c>
      <c r="C23" s="31" t="str">
        <f>B12</f>
        <v>Equipe 4</v>
      </c>
      <c r="D23" s="53"/>
      <c r="E23" s="54"/>
      <c r="F23" s="577"/>
      <c r="G23" s="32">
        <f>A24+J6+R5</f>
        <v>0.50000000000000022</v>
      </c>
      <c r="H23" s="33" t="str">
        <f>H9</f>
        <v>Equipe 5</v>
      </c>
      <c r="I23" s="33" t="str">
        <f>H12</f>
        <v>Equipe 8</v>
      </c>
      <c r="J23" s="57"/>
      <c r="K23" s="58"/>
      <c r="L23" s="85"/>
      <c r="M23" s="34">
        <f>A23</f>
        <v>0.4791666666666668</v>
      </c>
      <c r="N23" s="35" t="str">
        <f>N9</f>
        <v>Equipe 9</v>
      </c>
      <c r="O23" s="35" t="str">
        <f>N12</f>
        <v>Equipe 12</v>
      </c>
      <c r="P23" s="61"/>
      <c r="Q23" s="62"/>
      <c r="R23" s="577"/>
      <c r="S23" s="36">
        <f>M24+J6+R5</f>
        <v>0.50000000000000022</v>
      </c>
      <c r="T23" s="37" t="str">
        <f>T9</f>
        <v>Equipe 13</v>
      </c>
      <c r="U23" s="37" t="str">
        <f>T12</f>
        <v>Equipe 16</v>
      </c>
      <c r="V23" s="65"/>
      <c r="W23" s="66"/>
    </row>
    <row r="24" spans="1:23" ht="15.75" customHeight="1" thickBot="1" x14ac:dyDescent="0.3">
      <c r="A24" s="38">
        <f>A23+$J$6+R5</f>
        <v>0.48958333333333348</v>
      </c>
      <c r="B24" s="39" t="str">
        <f>B10</f>
        <v>Equipe 2</v>
      </c>
      <c r="C24" s="39" t="str">
        <f>B11</f>
        <v>Equipe 3</v>
      </c>
      <c r="D24" s="55"/>
      <c r="E24" s="56"/>
      <c r="F24" s="578"/>
      <c r="G24" s="40">
        <f>G23+J6+R5</f>
        <v>0.51041666666666685</v>
      </c>
      <c r="H24" s="41" t="str">
        <f>H10</f>
        <v>Equipe 6</v>
      </c>
      <c r="I24" s="41" t="str">
        <f>H11</f>
        <v>Equipe 7</v>
      </c>
      <c r="J24" s="59"/>
      <c r="K24" s="60"/>
      <c r="L24" s="89"/>
      <c r="M24" s="42">
        <f>M23+$J$6+R5</f>
        <v>0.48958333333333348</v>
      </c>
      <c r="N24" s="43" t="str">
        <f>N10</f>
        <v>Equipe 10</v>
      </c>
      <c r="O24" s="43" t="str">
        <f>N11</f>
        <v>Equipe 11</v>
      </c>
      <c r="P24" s="63"/>
      <c r="Q24" s="64"/>
      <c r="R24" s="578"/>
      <c r="S24" s="44">
        <f>S23+$J$6+R5</f>
        <v>0.51041666666666685</v>
      </c>
      <c r="T24" s="45" t="str">
        <f>T10</f>
        <v>Equipe 14</v>
      </c>
      <c r="U24" s="45" t="str">
        <f>T11</f>
        <v>Equipe 15</v>
      </c>
      <c r="V24" s="67"/>
      <c r="W24" s="68"/>
    </row>
    <row r="25" spans="1:23" ht="5.0999999999999996" customHeight="1" thickBot="1" x14ac:dyDescent="0.3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73"/>
      <c r="L25" s="89"/>
      <c r="M25" s="120"/>
      <c r="N25" s="119"/>
      <c r="O25" s="119"/>
      <c r="P25" s="173"/>
      <c r="Q25" s="173"/>
      <c r="R25" s="89"/>
      <c r="S25" s="532"/>
      <c r="T25" s="530"/>
      <c r="U25" s="530"/>
      <c r="V25" s="116"/>
      <c r="W25" s="117"/>
    </row>
    <row r="26" spans="1:23" ht="16.5" thickBot="1" x14ac:dyDescent="0.3">
      <c r="A26" s="702" t="s">
        <v>60</v>
      </c>
      <c r="B26" s="673"/>
      <c r="C26" s="673"/>
      <c r="D26" s="673"/>
      <c r="E26" s="673"/>
      <c r="F26" s="673"/>
      <c r="G26" s="673"/>
      <c r="H26" s="673"/>
      <c r="I26" s="673"/>
      <c r="J26" s="673"/>
      <c r="K26" s="673"/>
      <c r="L26" s="673"/>
      <c r="M26" s="673"/>
      <c r="N26" s="673"/>
      <c r="O26" s="673"/>
      <c r="P26" s="673"/>
      <c r="Q26" s="673"/>
      <c r="R26" s="673"/>
      <c r="S26" s="673"/>
      <c r="T26" s="673"/>
      <c r="U26" s="673"/>
      <c r="V26" s="673"/>
      <c r="W26" s="674"/>
    </row>
    <row r="27" spans="1:23" x14ac:dyDescent="0.25">
      <c r="A27" s="81" t="s">
        <v>21</v>
      </c>
      <c r="B27" s="772" t="s">
        <v>41</v>
      </c>
      <c r="C27" s="924"/>
      <c r="D27" s="772" t="s">
        <v>15</v>
      </c>
      <c r="E27" s="925"/>
      <c r="F27" s="122"/>
      <c r="G27" s="81" t="s">
        <v>21</v>
      </c>
      <c r="H27" s="772" t="s">
        <v>42</v>
      </c>
      <c r="I27" s="924"/>
      <c r="J27" s="772" t="s">
        <v>15</v>
      </c>
      <c r="K27" s="925"/>
      <c r="L27" s="75"/>
      <c r="M27" s="81" t="s">
        <v>21</v>
      </c>
      <c r="N27" s="772" t="s">
        <v>43</v>
      </c>
      <c r="O27" s="924"/>
      <c r="P27" s="772" t="s">
        <v>15</v>
      </c>
      <c r="Q27" s="925"/>
      <c r="R27" s="122"/>
      <c r="S27" s="81" t="s">
        <v>21</v>
      </c>
      <c r="T27" s="772" t="s">
        <v>55</v>
      </c>
      <c r="U27" s="924"/>
      <c r="V27" s="772" t="s">
        <v>15</v>
      </c>
      <c r="W27" s="925"/>
    </row>
    <row r="28" spans="1:23" x14ac:dyDescent="0.25">
      <c r="A28" s="49">
        <v>1</v>
      </c>
      <c r="B28" s="824" t="str">
        <f>VLOOKUP($A28,$A$103:$D$106,2,FALSE)</f>
        <v>Equipe 1</v>
      </c>
      <c r="C28" s="825"/>
      <c r="D28" s="882">
        <f>VLOOKUP($A28,$A$103:$D$106,4,FALSE)</f>
        <v>3.9999999999999998E-7</v>
      </c>
      <c r="E28" s="1079"/>
      <c r="F28" s="105"/>
      <c r="G28" s="49">
        <v>1</v>
      </c>
      <c r="H28" s="824" t="str">
        <f>VLOOKUP($G28,$G$103:$J$106,2,FALSE)</f>
        <v>Equipe 5</v>
      </c>
      <c r="I28" s="825"/>
      <c r="J28" s="767">
        <f>VLOOKUP($G28,$G$103:$J$106,4,FALSE)</f>
        <v>3.9999999999999998E-7</v>
      </c>
      <c r="K28" s="922"/>
      <c r="L28" s="76"/>
      <c r="M28" s="49">
        <v>1</v>
      </c>
      <c r="N28" s="824" t="str">
        <f>VLOOKUP($M28,$M$103:$P$106,2,FALSE)</f>
        <v>Equipe 9</v>
      </c>
      <c r="O28" s="825"/>
      <c r="P28" s="767">
        <f>VLOOKUP($M28,$M$103:$P$106,4,FALSE)</f>
        <v>3.9999999999999998E-7</v>
      </c>
      <c r="Q28" s="922"/>
      <c r="R28" s="105"/>
      <c r="S28" s="49">
        <v>1</v>
      </c>
      <c r="T28" s="824" t="str">
        <f>VLOOKUP($S28,$S$103:$V$106,2,FALSE)</f>
        <v>Equipe 13</v>
      </c>
      <c r="U28" s="825"/>
      <c r="V28" s="767">
        <f>VLOOKUP($S28,$S$103:$V$106,4,FALSE)</f>
        <v>3.9999999999999998E-7</v>
      </c>
      <c r="W28" s="922"/>
    </row>
    <row r="29" spans="1:23" x14ac:dyDescent="0.25">
      <c r="A29" s="49">
        <v>2</v>
      </c>
      <c r="B29" s="824" t="str">
        <f>VLOOKUP($A29,$A$103:$D$106,2,FALSE)</f>
        <v>Equipe 2</v>
      </c>
      <c r="C29" s="825"/>
      <c r="D29" s="882">
        <f>VLOOKUP($A29,$A$103:$D$106,4,FALSE)</f>
        <v>2.9999999999999999E-7</v>
      </c>
      <c r="E29" s="1079"/>
      <c r="F29" s="105"/>
      <c r="G29" s="49">
        <v>2</v>
      </c>
      <c r="H29" s="824" t="str">
        <f>VLOOKUP($G29,$G$103:$J$106,2,FALSE)</f>
        <v>Equipe 6</v>
      </c>
      <c r="I29" s="825"/>
      <c r="J29" s="767">
        <f>VLOOKUP($G29,$G$103:$J$106,4,FALSE)</f>
        <v>2.9999999999999999E-7</v>
      </c>
      <c r="K29" s="922"/>
      <c r="L29" s="76"/>
      <c r="M29" s="49">
        <v>2</v>
      </c>
      <c r="N29" s="824" t="str">
        <f>VLOOKUP($M29,$M$103:$P$106,2,FALSE)</f>
        <v>Equipe 10</v>
      </c>
      <c r="O29" s="825"/>
      <c r="P29" s="767">
        <f>VLOOKUP($M29,$M$103:$P$106,4,FALSE)</f>
        <v>2.9999999999999999E-7</v>
      </c>
      <c r="Q29" s="922"/>
      <c r="R29" s="105"/>
      <c r="S29" s="49">
        <v>2</v>
      </c>
      <c r="T29" s="824" t="str">
        <f>VLOOKUP($S29,$S$103:$V$106,2,FALSE)</f>
        <v>Equipe 14</v>
      </c>
      <c r="U29" s="825"/>
      <c r="V29" s="767">
        <f>VLOOKUP($S29,$S$103:$V$106,4,FALSE)</f>
        <v>2.9999999999999999E-7</v>
      </c>
      <c r="W29" s="922"/>
    </row>
    <row r="30" spans="1:23" x14ac:dyDescent="0.25">
      <c r="A30" s="49">
        <v>3</v>
      </c>
      <c r="B30" s="824" t="str">
        <f>VLOOKUP($A30,$A$103:$D$106,2,FALSE)</f>
        <v>Equipe 3</v>
      </c>
      <c r="C30" s="825"/>
      <c r="D30" s="882">
        <f>VLOOKUP($A30,$A$103:$D$106,4,FALSE)</f>
        <v>1.9999999999999999E-7</v>
      </c>
      <c r="E30" s="1079"/>
      <c r="F30" s="105"/>
      <c r="G30" s="49">
        <v>3</v>
      </c>
      <c r="H30" s="824" t="str">
        <f>VLOOKUP($G30,$G$103:$J$106,2,FALSE)</f>
        <v>Equipe 7</v>
      </c>
      <c r="I30" s="825"/>
      <c r="J30" s="767">
        <f>VLOOKUP($G30,$G$103:$J$106,4,FALSE)</f>
        <v>1.9999999999999999E-7</v>
      </c>
      <c r="K30" s="922"/>
      <c r="L30" s="76"/>
      <c r="M30" s="49">
        <v>3</v>
      </c>
      <c r="N30" s="824" t="str">
        <f>VLOOKUP($M30,$M$103:$P$106,2,FALSE)</f>
        <v>Equipe 11</v>
      </c>
      <c r="O30" s="825"/>
      <c r="P30" s="767">
        <f>VLOOKUP($M30,$M$103:$P$106,4,FALSE)</f>
        <v>1.9999999999999999E-7</v>
      </c>
      <c r="Q30" s="922"/>
      <c r="R30" s="105"/>
      <c r="S30" s="49">
        <v>3</v>
      </c>
      <c r="T30" s="824" t="str">
        <f>VLOOKUP($S30,$S$103:$V$106,2,FALSE)</f>
        <v>Equipe 15</v>
      </c>
      <c r="U30" s="825"/>
      <c r="V30" s="767">
        <f>VLOOKUP($S30,$S$103:$V$106,4,FALSE)</f>
        <v>1.9999999999999999E-7</v>
      </c>
      <c r="W30" s="922"/>
    </row>
    <row r="31" spans="1:23" ht="15.75" thickBot="1" x14ac:dyDescent="0.3">
      <c r="A31" s="50">
        <v>4</v>
      </c>
      <c r="B31" s="1077" t="str">
        <f>VLOOKUP($A31,$A$103:$D$106,2,FALSE)</f>
        <v>Equipe 4</v>
      </c>
      <c r="C31" s="1078"/>
      <c r="D31" s="1158">
        <f>VLOOKUP($A31,$A$103:$D$106,4,FALSE)</f>
        <v>9.9999999999999995E-8</v>
      </c>
      <c r="E31" s="1159"/>
      <c r="F31" s="123"/>
      <c r="G31" s="50">
        <v>4</v>
      </c>
      <c r="H31" s="1077" t="str">
        <f>VLOOKUP($G31,$G$103:$J$106,2,FALSE)</f>
        <v>Equipe 8</v>
      </c>
      <c r="I31" s="1078"/>
      <c r="J31" s="761">
        <f>VLOOKUP($G31,$G$103:$J$106,4,FALSE)</f>
        <v>9.9999999999999995E-8</v>
      </c>
      <c r="K31" s="1140"/>
      <c r="L31" s="78"/>
      <c r="M31" s="50">
        <v>4</v>
      </c>
      <c r="N31" s="1077" t="str">
        <f>VLOOKUP($M31,$M$103:$P$106,2,FALSE)</f>
        <v>Equipe 12</v>
      </c>
      <c r="O31" s="1078"/>
      <c r="P31" s="761">
        <f>VLOOKUP($M31,$M$103:$P$106,4,FALSE)</f>
        <v>9.9999999999999995E-8</v>
      </c>
      <c r="Q31" s="1140"/>
      <c r="R31" s="123"/>
      <c r="S31" s="50">
        <v>4</v>
      </c>
      <c r="T31" s="1077" t="str">
        <f>VLOOKUP($S31,$S$103:$V$106,2,FALSE)</f>
        <v>Equipe 16</v>
      </c>
      <c r="U31" s="1078"/>
      <c r="V31" s="761">
        <f>VLOOKUP($S31,$S$103:$V$106,4,FALSE)</f>
        <v>9.9999999999999995E-8</v>
      </c>
      <c r="W31" s="1140"/>
    </row>
    <row r="32" spans="1:23" ht="15.75" thickBot="1" x14ac:dyDescent="0.3">
      <c r="A32" s="703" t="s">
        <v>34</v>
      </c>
      <c r="B32" s="704"/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5"/>
    </row>
    <row r="33" spans="1:24" ht="16.5" thickBot="1" x14ac:dyDescent="0.3">
      <c r="A33" s="780" t="s">
        <v>250</v>
      </c>
      <c r="B33" s="686"/>
      <c r="C33" s="686"/>
      <c r="D33" s="686"/>
      <c r="E33" s="686"/>
      <c r="F33" s="686"/>
      <c r="G33" s="686"/>
      <c r="H33" s="686"/>
      <c r="I33" s="686"/>
      <c r="J33" s="686"/>
      <c r="K33" s="781"/>
      <c r="L33" s="579"/>
      <c r="M33" s="780" t="s">
        <v>251</v>
      </c>
      <c r="N33" s="686"/>
      <c r="O33" s="686"/>
      <c r="P33" s="686"/>
      <c r="Q33" s="686"/>
      <c r="R33" s="686"/>
      <c r="S33" s="686"/>
      <c r="T33" s="686"/>
      <c r="U33" s="686"/>
      <c r="V33" s="686"/>
      <c r="W33" s="781"/>
    </row>
    <row r="34" spans="1:24" ht="24.95" customHeight="1" x14ac:dyDescent="0.25">
      <c r="A34" s="6"/>
      <c r="B34" s="912" t="s">
        <v>91</v>
      </c>
      <c r="C34" s="913"/>
      <c r="D34" s="912" t="s">
        <v>15</v>
      </c>
      <c r="E34" s="914"/>
      <c r="F34" s="577"/>
      <c r="G34" s="7"/>
      <c r="H34" s="915" t="s">
        <v>92</v>
      </c>
      <c r="I34" s="916"/>
      <c r="J34" s="915" t="s">
        <v>15</v>
      </c>
      <c r="K34" s="917"/>
      <c r="L34" s="580"/>
      <c r="M34" s="8"/>
      <c r="N34" s="852" t="s">
        <v>264</v>
      </c>
      <c r="O34" s="918"/>
      <c r="P34" s="852" t="s">
        <v>15</v>
      </c>
      <c r="Q34" s="853"/>
      <c r="R34" s="577"/>
      <c r="S34" s="9"/>
      <c r="T34" s="850" t="s">
        <v>265</v>
      </c>
      <c r="U34" s="1167"/>
      <c r="V34" s="850" t="s">
        <v>15</v>
      </c>
      <c r="W34" s="851"/>
    </row>
    <row r="35" spans="1:24" ht="16.350000000000001" customHeight="1" x14ac:dyDescent="0.25">
      <c r="A35" s="10">
        <v>1</v>
      </c>
      <c r="B35" s="731" t="s">
        <v>93</v>
      </c>
      <c r="C35" s="884"/>
      <c r="D35" s="725">
        <f>A134+A138+A142+C129/1000000</f>
        <v>0</v>
      </c>
      <c r="E35" s="726"/>
      <c r="F35" s="577"/>
      <c r="G35" s="11">
        <v>1</v>
      </c>
      <c r="H35" s="727" t="s">
        <v>97</v>
      </c>
      <c r="I35" s="885"/>
      <c r="J35" s="729">
        <f>G134+G138+G142+I129/1000000</f>
        <v>0</v>
      </c>
      <c r="K35" s="730"/>
      <c r="L35" s="580"/>
      <c r="M35" s="12">
        <v>1</v>
      </c>
      <c r="N35" s="800" t="s">
        <v>266</v>
      </c>
      <c r="O35" s="1166"/>
      <c r="P35" s="802">
        <f>M134+M138+M142+O129/1000000</f>
        <v>0</v>
      </c>
      <c r="Q35" s="803"/>
      <c r="R35" s="577"/>
      <c r="S35" s="13">
        <v>1</v>
      </c>
      <c r="T35" s="796" t="s">
        <v>270</v>
      </c>
      <c r="U35" s="1163"/>
      <c r="V35" s="798">
        <f>S134+S138+S142+U129/1000000</f>
        <v>0</v>
      </c>
      <c r="W35" s="799"/>
      <c r="X35" s="74"/>
    </row>
    <row r="36" spans="1:24" ht="16.350000000000001" customHeight="1" x14ac:dyDescent="0.25">
      <c r="A36" s="10">
        <v>2</v>
      </c>
      <c r="B36" s="731" t="s">
        <v>94</v>
      </c>
      <c r="C36" s="884"/>
      <c r="D36" s="725">
        <f>B134+A139+A143+C130/1000000</f>
        <v>0</v>
      </c>
      <c r="E36" s="726"/>
      <c r="F36" s="577"/>
      <c r="G36" s="11">
        <v>2</v>
      </c>
      <c r="H36" s="727" t="s">
        <v>98</v>
      </c>
      <c r="I36" s="885"/>
      <c r="J36" s="729">
        <f>H134+G139+G143+I130/1000000</f>
        <v>0</v>
      </c>
      <c r="K36" s="730"/>
      <c r="L36" s="580"/>
      <c r="M36" s="12">
        <v>2</v>
      </c>
      <c r="N36" s="800" t="s">
        <v>267</v>
      </c>
      <c r="O36" s="1166"/>
      <c r="P36" s="802">
        <f>N134+M139+M143+O130/1000000</f>
        <v>0</v>
      </c>
      <c r="Q36" s="803"/>
      <c r="R36" s="577"/>
      <c r="S36" s="13">
        <v>2</v>
      </c>
      <c r="T36" s="796" t="s">
        <v>271</v>
      </c>
      <c r="U36" s="1163"/>
      <c r="V36" s="798">
        <f>T134+S139+S143+U130/1000000</f>
        <v>0</v>
      </c>
      <c r="W36" s="799"/>
      <c r="X36" s="74"/>
    </row>
    <row r="37" spans="1:24" ht="16.350000000000001" customHeight="1" x14ac:dyDescent="0.25">
      <c r="A37" s="10">
        <v>3</v>
      </c>
      <c r="B37" s="731" t="s">
        <v>95</v>
      </c>
      <c r="C37" s="884"/>
      <c r="D37" s="725">
        <f>A135+B138+B143+C131/1000000</f>
        <v>0</v>
      </c>
      <c r="E37" s="726"/>
      <c r="F37" s="577"/>
      <c r="G37" s="11">
        <v>3</v>
      </c>
      <c r="H37" s="727" t="s">
        <v>99</v>
      </c>
      <c r="I37" s="885"/>
      <c r="J37" s="729">
        <f>G135+H138+H143+I131/1000000</f>
        <v>0</v>
      </c>
      <c r="K37" s="730"/>
      <c r="L37" s="580"/>
      <c r="M37" s="12">
        <v>3</v>
      </c>
      <c r="N37" s="800" t="s">
        <v>268</v>
      </c>
      <c r="O37" s="1166"/>
      <c r="P37" s="802">
        <f>M135+N138+N143+O131/1000000</f>
        <v>0</v>
      </c>
      <c r="Q37" s="803"/>
      <c r="R37" s="577"/>
      <c r="S37" s="13">
        <v>3</v>
      </c>
      <c r="T37" s="796" t="s">
        <v>272</v>
      </c>
      <c r="U37" s="1163"/>
      <c r="V37" s="798">
        <f>S135+T138+T143+U131/1000000</f>
        <v>0</v>
      </c>
      <c r="W37" s="799"/>
    </row>
    <row r="38" spans="1:24" ht="16.350000000000001" customHeight="1" thickBot="1" x14ac:dyDescent="0.3">
      <c r="A38" s="15">
        <v>4</v>
      </c>
      <c r="B38" s="731" t="s">
        <v>96</v>
      </c>
      <c r="C38" s="884"/>
      <c r="D38" s="719">
        <f>B135+B139+B142+C132/1000000</f>
        <v>0</v>
      </c>
      <c r="E38" s="720"/>
      <c r="F38" s="577"/>
      <c r="G38" s="16">
        <v>4</v>
      </c>
      <c r="H38" s="1164" t="s">
        <v>100</v>
      </c>
      <c r="I38" s="1165"/>
      <c r="J38" s="723">
        <f>H135+H139+H142+I132/1000000</f>
        <v>0</v>
      </c>
      <c r="K38" s="724"/>
      <c r="L38" s="580"/>
      <c r="M38" s="17">
        <v>4</v>
      </c>
      <c r="N38" s="800" t="s">
        <v>269</v>
      </c>
      <c r="O38" s="1166"/>
      <c r="P38" s="794">
        <f>N135+N139+N142+O132/1000000</f>
        <v>0</v>
      </c>
      <c r="Q38" s="795"/>
      <c r="R38" s="577"/>
      <c r="S38" s="18">
        <v>4</v>
      </c>
      <c r="T38" s="796" t="s">
        <v>273</v>
      </c>
      <c r="U38" s="1163"/>
      <c r="V38" s="790">
        <f>T135+T139+T142+U132/1000000</f>
        <v>0</v>
      </c>
      <c r="W38" s="791"/>
    </row>
    <row r="39" spans="1:24" ht="5.0999999999999996" customHeight="1" thickBot="1" x14ac:dyDescent="0.3">
      <c r="A39" s="19"/>
      <c r="B39" s="2"/>
      <c r="C39" s="2"/>
      <c r="D39" s="2"/>
      <c r="E39" s="21"/>
      <c r="F39" s="577"/>
      <c r="G39" s="19"/>
      <c r="H39" s="2"/>
      <c r="I39" s="22"/>
      <c r="J39" s="2"/>
      <c r="K39" s="21"/>
      <c r="L39" s="580"/>
      <c r="M39" s="19"/>
      <c r="N39" s="2"/>
      <c r="O39" s="2"/>
      <c r="P39" s="2"/>
      <c r="Q39" s="21"/>
      <c r="R39" s="577"/>
      <c r="S39" s="19"/>
      <c r="T39" s="2"/>
      <c r="U39" s="2"/>
      <c r="V39" s="2"/>
      <c r="W39" s="21"/>
    </row>
    <row r="40" spans="1:24" ht="15" customHeight="1" x14ac:dyDescent="0.25">
      <c r="A40" s="24"/>
      <c r="B40" s="1086" t="s">
        <v>5</v>
      </c>
      <c r="C40" s="1160"/>
      <c r="D40" s="1086" t="s">
        <v>16</v>
      </c>
      <c r="E40" s="1161"/>
      <c r="F40" s="577"/>
      <c r="G40" s="26"/>
      <c r="H40" s="883" t="s">
        <v>5</v>
      </c>
      <c r="I40" s="1080"/>
      <c r="J40" s="883" t="s">
        <v>16</v>
      </c>
      <c r="K40" s="1162"/>
      <c r="L40" s="580"/>
      <c r="M40" s="27"/>
      <c r="N40" s="1042" t="s">
        <v>5</v>
      </c>
      <c r="O40" s="1111"/>
      <c r="P40" s="1042" t="s">
        <v>16</v>
      </c>
      <c r="Q40" s="1112"/>
      <c r="R40" s="577"/>
      <c r="S40" s="28"/>
      <c r="T40" s="1108" t="s">
        <v>5</v>
      </c>
      <c r="U40" s="1109"/>
      <c r="V40" s="1108" t="s">
        <v>16</v>
      </c>
      <c r="W40" s="1110"/>
    </row>
    <row r="41" spans="1:24" ht="14.45" customHeight="1" x14ac:dyDescent="0.25">
      <c r="A41" s="30">
        <f>E4</f>
        <v>0.39583333333333331</v>
      </c>
      <c r="B41" s="31" t="str">
        <f>B35</f>
        <v>Equipe 17</v>
      </c>
      <c r="C41" s="31" t="str">
        <f>B36</f>
        <v>Equipe 18</v>
      </c>
      <c r="D41" s="53"/>
      <c r="E41" s="54"/>
      <c r="F41" s="577"/>
      <c r="G41" s="32">
        <f>A42+$J$6+$R$5</f>
        <v>0.41666666666666669</v>
      </c>
      <c r="H41" s="33" t="str">
        <f>H35</f>
        <v>Equipe 21</v>
      </c>
      <c r="I41" s="33" t="str">
        <f>H36</f>
        <v>Equipe 22</v>
      </c>
      <c r="J41" s="57"/>
      <c r="K41" s="58"/>
      <c r="L41" s="580"/>
      <c r="M41" s="34">
        <f>E4</f>
        <v>0.39583333333333331</v>
      </c>
      <c r="N41" s="35" t="str">
        <f>N35</f>
        <v>Equipe 25</v>
      </c>
      <c r="O41" s="35" t="str">
        <f>N36</f>
        <v>Equipe 26</v>
      </c>
      <c r="P41" s="61"/>
      <c r="Q41" s="62"/>
      <c r="R41" s="577"/>
      <c r="S41" s="36">
        <f>M42+$J$6+$R$5</f>
        <v>0.41666666666666669</v>
      </c>
      <c r="T41" s="37" t="str">
        <f>T35</f>
        <v>Equipe 29</v>
      </c>
      <c r="U41" s="37" t="str">
        <f>T36</f>
        <v>Equipe 30</v>
      </c>
      <c r="V41" s="65"/>
      <c r="W41" s="66"/>
    </row>
    <row r="42" spans="1:24" ht="14.45" customHeight="1" thickBot="1" x14ac:dyDescent="0.3">
      <c r="A42" s="38">
        <f>A41+$J$6+R5</f>
        <v>0.40625</v>
      </c>
      <c r="B42" s="39" t="str">
        <f>B37</f>
        <v>Equipe 19</v>
      </c>
      <c r="C42" s="39" t="str">
        <f>B38</f>
        <v>Equipe 20</v>
      </c>
      <c r="D42" s="55"/>
      <c r="E42" s="56"/>
      <c r="F42" s="577"/>
      <c r="G42" s="40">
        <f>G41+$J$6+R5</f>
        <v>0.42708333333333337</v>
      </c>
      <c r="H42" s="41" t="str">
        <f>H37</f>
        <v>Equipe 23</v>
      </c>
      <c r="I42" s="41" t="str">
        <f>H38</f>
        <v>Equipe 24</v>
      </c>
      <c r="J42" s="59"/>
      <c r="K42" s="60"/>
      <c r="L42" s="580"/>
      <c r="M42" s="42">
        <f>M41+$J$6+R5</f>
        <v>0.40625</v>
      </c>
      <c r="N42" s="43" t="str">
        <f>N37</f>
        <v>Equipe 27</v>
      </c>
      <c r="O42" s="43" t="str">
        <f>N38</f>
        <v>Equipe 28</v>
      </c>
      <c r="P42" s="63"/>
      <c r="Q42" s="64"/>
      <c r="R42" s="577"/>
      <c r="S42" s="44">
        <f>S41+$J$6+R5</f>
        <v>0.42708333333333337</v>
      </c>
      <c r="T42" s="45" t="str">
        <f>T37</f>
        <v>Equipe 31</v>
      </c>
      <c r="U42" s="45" t="str">
        <f>T38</f>
        <v>Equipe 32</v>
      </c>
      <c r="V42" s="67"/>
      <c r="W42" s="68"/>
    </row>
    <row r="43" spans="1:24" ht="5.0999999999999996" customHeight="1" thickBot="1" x14ac:dyDescent="0.3">
      <c r="A43" s="19"/>
      <c r="B43" s="2"/>
      <c r="C43" s="2"/>
      <c r="D43" s="521"/>
      <c r="E43" s="522"/>
      <c r="F43" s="577"/>
      <c r="G43" s="19"/>
      <c r="H43" s="2"/>
      <c r="I43" s="47"/>
      <c r="J43" s="521"/>
      <c r="K43" s="522"/>
      <c r="L43" s="580"/>
      <c r="M43" s="19"/>
      <c r="N43" s="2"/>
      <c r="O43" s="2"/>
      <c r="P43" s="521"/>
      <c r="Q43" s="522"/>
      <c r="R43" s="577"/>
      <c r="S43" s="19"/>
      <c r="T43" s="2"/>
      <c r="U43" s="2"/>
      <c r="V43" s="521"/>
      <c r="W43" s="522"/>
    </row>
    <row r="44" spans="1:24" ht="15" customHeight="1" x14ac:dyDescent="0.25">
      <c r="A44" s="24"/>
      <c r="B44" s="1086" t="s">
        <v>6</v>
      </c>
      <c r="C44" s="1160"/>
      <c r="D44" s="1086" t="s">
        <v>16</v>
      </c>
      <c r="E44" s="1161"/>
      <c r="F44" s="577"/>
      <c r="G44" s="26"/>
      <c r="H44" s="883" t="s">
        <v>6</v>
      </c>
      <c r="I44" s="1080"/>
      <c r="J44" s="883" t="s">
        <v>16</v>
      </c>
      <c r="K44" s="1162"/>
      <c r="L44" s="580"/>
      <c r="M44" s="27"/>
      <c r="N44" s="1042" t="s">
        <v>6</v>
      </c>
      <c r="O44" s="1111"/>
      <c r="P44" s="1042" t="s">
        <v>16</v>
      </c>
      <c r="Q44" s="1112"/>
      <c r="R44" s="577"/>
      <c r="S44" s="28"/>
      <c r="T44" s="1108" t="s">
        <v>6</v>
      </c>
      <c r="U44" s="1109"/>
      <c r="V44" s="1108" t="s">
        <v>16</v>
      </c>
      <c r="W44" s="1110"/>
    </row>
    <row r="45" spans="1:24" ht="14.45" customHeight="1" x14ac:dyDescent="0.25">
      <c r="A45" s="30">
        <f>G42+$J$6+R5</f>
        <v>0.43750000000000006</v>
      </c>
      <c r="B45" s="31" t="str">
        <f>B35</f>
        <v>Equipe 17</v>
      </c>
      <c r="C45" s="31" t="str">
        <f>B37</f>
        <v>Equipe 19</v>
      </c>
      <c r="D45" s="53"/>
      <c r="E45" s="54"/>
      <c r="F45" s="577"/>
      <c r="G45" s="32">
        <f>A46+$J$6+$R$5</f>
        <v>0.45833333333333343</v>
      </c>
      <c r="H45" s="33" t="str">
        <f>H35</f>
        <v>Equipe 21</v>
      </c>
      <c r="I45" s="33" t="str">
        <f>H37</f>
        <v>Equipe 23</v>
      </c>
      <c r="J45" s="57"/>
      <c r="K45" s="58"/>
      <c r="L45" s="580"/>
      <c r="M45" s="34">
        <f>A45</f>
        <v>0.43750000000000006</v>
      </c>
      <c r="N45" s="35" t="str">
        <f>N35</f>
        <v>Equipe 25</v>
      </c>
      <c r="O45" s="35" t="str">
        <f>N37</f>
        <v>Equipe 27</v>
      </c>
      <c r="P45" s="61"/>
      <c r="Q45" s="62"/>
      <c r="R45" s="577"/>
      <c r="S45" s="36">
        <f>M46+$J$6+$R$5</f>
        <v>0.45833333333333343</v>
      </c>
      <c r="T45" s="37" t="str">
        <f>T35</f>
        <v>Equipe 29</v>
      </c>
      <c r="U45" s="37" t="str">
        <f>T37</f>
        <v>Equipe 31</v>
      </c>
      <c r="V45" s="65"/>
      <c r="W45" s="66"/>
    </row>
    <row r="46" spans="1:24" ht="14.45" customHeight="1" thickBot="1" x14ac:dyDescent="0.3">
      <c r="A46" s="38">
        <f>A45+$J$6+R5</f>
        <v>0.44791666666666674</v>
      </c>
      <c r="B46" s="39" t="str">
        <f>B36</f>
        <v>Equipe 18</v>
      </c>
      <c r="C46" s="39" t="str">
        <f>B38</f>
        <v>Equipe 20</v>
      </c>
      <c r="D46" s="55"/>
      <c r="E46" s="56"/>
      <c r="F46" s="577"/>
      <c r="G46" s="40">
        <f>G45+$J$6+R5</f>
        <v>0.46875000000000011</v>
      </c>
      <c r="H46" s="41" t="str">
        <f>H36</f>
        <v>Equipe 22</v>
      </c>
      <c r="I46" s="41" t="str">
        <f>H38</f>
        <v>Equipe 24</v>
      </c>
      <c r="J46" s="59"/>
      <c r="K46" s="60"/>
      <c r="L46" s="580"/>
      <c r="M46" s="42">
        <f>M45+$J$6+R5</f>
        <v>0.44791666666666674</v>
      </c>
      <c r="N46" s="43" t="str">
        <f>N36</f>
        <v>Equipe 26</v>
      </c>
      <c r="O46" s="43" t="str">
        <f>N38</f>
        <v>Equipe 28</v>
      </c>
      <c r="P46" s="63"/>
      <c r="Q46" s="64"/>
      <c r="R46" s="577"/>
      <c r="S46" s="44">
        <f>S45+$J$6+R5</f>
        <v>0.46875000000000011</v>
      </c>
      <c r="T46" s="45" t="str">
        <f>T36</f>
        <v>Equipe 30</v>
      </c>
      <c r="U46" s="45" t="str">
        <f>T38</f>
        <v>Equipe 32</v>
      </c>
      <c r="V46" s="67"/>
      <c r="W46" s="68"/>
    </row>
    <row r="47" spans="1:24" ht="5.0999999999999996" customHeight="1" thickBot="1" x14ac:dyDescent="0.3">
      <c r="A47" s="19"/>
      <c r="B47" s="2"/>
      <c r="C47" s="2"/>
      <c r="D47" s="521"/>
      <c r="E47" s="522"/>
      <c r="F47" s="577"/>
      <c r="G47" s="19"/>
      <c r="H47" s="2"/>
      <c r="I47" s="47"/>
      <c r="J47" s="521"/>
      <c r="K47" s="522"/>
      <c r="L47" s="580"/>
      <c r="M47" s="19"/>
      <c r="N47" s="2"/>
      <c r="O47" s="2"/>
      <c r="P47" s="521"/>
      <c r="Q47" s="522"/>
      <c r="R47" s="577"/>
      <c r="S47" s="19"/>
      <c r="T47" s="2"/>
      <c r="U47" s="2"/>
      <c r="V47" s="521"/>
      <c r="W47" s="522"/>
    </row>
    <row r="48" spans="1:24" ht="14.45" customHeight="1" x14ac:dyDescent="0.25">
      <c r="A48" s="24"/>
      <c r="B48" s="1086" t="s">
        <v>7</v>
      </c>
      <c r="C48" s="1160"/>
      <c r="D48" s="1086" t="s">
        <v>16</v>
      </c>
      <c r="E48" s="1161"/>
      <c r="F48" s="577"/>
      <c r="G48" s="26"/>
      <c r="H48" s="883" t="s">
        <v>7</v>
      </c>
      <c r="I48" s="1080"/>
      <c r="J48" s="883" t="s">
        <v>16</v>
      </c>
      <c r="K48" s="1162"/>
      <c r="L48" s="580"/>
      <c r="M48" s="27"/>
      <c r="N48" s="1042" t="s">
        <v>7</v>
      </c>
      <c r="O48" s="1111"/>
      <c r="P48" s="1042" t="s">
        <v>16</v>
      </c>
      <c r="Q48" s="1112"/>
      <c r="R48" s="577"/>
      <c r="S48" s="28"/>
      <c r="T48" s="1108" t="s">
        <v>7</v>
      </c>
      <c r="U48" s="1109"/>
      <c r="V48" s="1108" t="s">
        <v>16</v>
      </c>
      <c r="W48" s="1110"/>
    </row>
    <row r="49" spans="1:24" ht="14.45" customHeight="1" x14ac:dyDescent="0.25">
      <c r="A49" s="30">
        <f>G46+$J$6+R5</f>
        <v>0.4791666666666668</v>
      </c>
      <c r="B49" s="31" t="str">
        <f>B35</f>
        <v>Equipe 17</v>
      </c>
      <c r="C49" s="31" t="str">
        <f>B38</f>
        <v>Equipe 20</v>
      </c>
      <c r="D49" s="53"/>
      <c r="E49" s="54"/>
      <c r="F49" s="577"/>
      <c r="G49" s="32">
        <f>A50+$J$6+$R$5</f>
        <v>0.50000000000000022</v>
      </c>
      <c r="H49" s="33" t="str">
        <f>H35</f>
        <v>Equipe 21</v>
      </c>
      <c r="I49" s="33" t="str">
        <f>H38</f>
        <v>Equipe 24</v>
      </c>
      <c r="J49" s="57"/>
      <c r="K49" s="58"/>
      <c r="L49" s="580"/>
      <c r="M49" s="34">
        <f>A49</f>
        <v>0.4791666666666668</v>
      </c>
      <c r="N49" s="35" t="str">
        <f>N35</f>
        <v>Equipe 25</v>
      </c>
      <c r="O49" s="35" t="str">
        <f>N38</f>
        <v>Equipe 28</v>
      </c>
      <c r="P49" s="61"/>
      <c r="Q49" s="62"/>
      <c r="R49" s="577"/>
      <c r="S49" s="36">
        <f>M50+$J$6+$R$5</f>
        <v>0.50000000000000022</v>
      </c>
      <c r="T49" s="37" t="str">
        <f>T35</f>
        <v>Equipe 29</v>
      </c>
      <c r="U49" s="37" t="str">
        <f>T38</f>
        <v>Equipe 32</v>
      </c>
      <c r="V49" s="65"/>
      <c r="W49" s="66"/>
    </row>
    <row r="50" spans="1:24" ht="15.75" customHeight="1" thickBot="1" x14ac:dyDescent="0.3">
      <c r="A50" s="38">
        <f>A49+$J$6+R5</f>
        <v>0.48958333333333348</v>
      </c>
      <c r="B50" s="39" t="str">
        <f>B36</f>
        <v>Equipe 18</v>
      </c>
      <c r="C50" s="39" t="str">
        <f>B37</f>
        <v>Equipe 19</v>
      </c>
      <c r="D50" s="55"/>
      <c r="E50" s="56"/>
      <c r="F50" s="578"/>
      <c r="G50" s="40">
        <f>G49+$J$6+R5</f>
        <v>0.51041666666666685</v>
      </c>
      <c r="H50" s="41" t="str">
        <f>H36</f>
        <v>Equipe 22</v>
      </c>
      <c r="I50" s="41" t="str">
        <f>H37</f>
        <v>Equipe 23</v>
      </c>
      <c r="J50" s="59"/>
      <c r="K50" s="60"/>
      <c r="L50" s="581"/>
      <c r="M50" s="42">
        <f>M49+$J$6+R5</f>
        <v>0.48958333333333348</v>
      </c>
      <c r="N50" s="43" t="str">
        <f>N36</f>
        <v>Equipe 26</v>
      </c>
      <c r="O50" s="43" t="str">
        <f>N37</f>
        <v>Equipe 27</v>
      </c>
      <c r="P50" s="63"/>
      <c r="Q50" s="64"/>
      <c r="R50" s="578"/>
      <c r="S50" s="44">
        <f>S49+$J$6+R5</f>
        <v>0.51041666666666685</v>
      </c>
      <c r="T50" s="45" t="str">
        <f>T36</f>
        <v>Equipe 30</v>
      </c>
      <c r="U50" s="45" t="str">
        <f>T37</f>
        <v>Equipe 31</v>
      </c>
      <c r="V50" s="67"/>
      <c r="W50" s="68"/>
    </row>
    <row r="51" spans="1:24" ht="14.45" customHeight="1" thickBot="1" x14ac:dyDescent="0.3">
      <c r="A51" s="118"/>
      <c r="B51" s="119"/>
      <c r="C51" s="119"/>
      <c r="D51" s="173"/>
      <c r="E51" s="173"/>
      <c r="F51" s="89"/>
      <c r="G51" s="120"/>
      <c r="H51" s="119"/>
      <c r="I51" s="119"/>
      <c r="J51" s="173"/>
      <c r="K51" s="173"/>
      <c r="L51" s="89"/>
      <c r="M51" s="120"/>
      <c r="N51" s="119"/>
      <c r="O51" s="119"/>
      <c r="P51" s="173"/>
      <c r="Q51" s="173"/>
      <c r="R51" s="89"/>
      <c r="S51" s="532"/>
      <c r="T51" s="530"/>
      <c r="U51" s="530"/>
      <c r="V51" s="116"/>
      <c r="W51" s="117"/>
    </row>
    <row r="52" spans="1:24" ht="14.45" customHeight="1" thickBot="1" x14ac:dyDescent="0.3">
      <c r="A52" s="702" t="s">
        <v>60</v>
      </c>
      <c r="B52" s="673"/>
      <c r="C52" s="673"/>
      <c r="D52" s="673"/>
      <c r="E52" s="673"/>
      <c r="F52" s="673"/>
      <c r="G52" s="673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3"/>
      <c r="T52" s="673"/>
      <c r="U52" s="673"/>
      <c r="V52" s="673"/>
      <c r="W52" s="674"/>
      <c r="X52" s="172"/>
    </row>
    <row r="53" spans="1:24" ht="14.45" customHeight="1" x14ac:dyDescent="0.25">
      <c r="A53" s="81" t="s">
        <v>21</v>
      </c>
      <c r="B53" s="772" t="s">
        <v>91</v>
      </c>
      <c r="C53" s="924"/>
      <c r="D53" s="772" t="s">
        <v>15</v>
      </c>
      <c r="E53" s="925"/>
      <c r="F53" s="122"/>
      <c r="G53" s="81" t="s">
        <v>21</v>
      </c>
      <c r="H53" s="772" t="s">
        <v>92</v>
      </c>
      <c r="I53" s="924"/>
      <c r="J53" s="772" t="s">
        <v>15</v>
      </c>
      <c r="K53" s="925"/>
      <c r="L53" s="75"/>
      <c r="M53" s="81" t="s">
        <v>21</v>
      </c>
      <c r="N53" s="772" t="s">
        <v>264</v>
      </c>
      <c r="O53" s="924"/>
      <c r="P53" s="772" t="s">
        <v>15</v>
      </c>
      <c r="Q53" s="925"/>
      <c r="R53" s="122"/>
      <c r="S53" s="81" t="s">
        <v>21</v>
      </c>
      <c r="T53" s="772" t="s">
        <v>265</v>
      </c>
      <c r="U53" s="924"/>
      <c r="V53" s="772" t="s">
        <v>15</v>
      </c>
      <c r="W53" s="925"/>
      <c r="X53" s="172"/>
    </row>
    <row r="54" spans="1:24" ht="14.45" customHeight="1" x14ac:dyDescent="0.25">
      <c r="A54" s="49">
        <v>1</v>
      </c>
      <c r="B54" s="824" t="str">
        <f>VLOOKUP($A54,$A$129:$D$132,2,FALSE)</f>
        <v>Equipe 17</v>
      </c>
      <c r="C54" s="825"/>
      <c r="D54" s="882">
        <f>VLOOKUP($A54,$A$129:$D$132,4,FALSE)</f>
        <v>3.9999999999999998E-7</v>
      </c>
      <c r="E54" s="1079"/>
      <c r="F54" s="105"/>
      <c r="G54" s="49">
        <v>1</v>
      </c>
      <c r="H54" s="824" t="str">
        <f>VLOOKUP($G54,$G$129:$J$132,2,FALSE)</f>
        <v>Equipe 21</v>
      </c>
      <c r="I54" s="825"/>
      <c r="J54" s="767">
        <f>VLOOKUP($G54,$G$129:$J$132,4,FALSE)</f>
        <v>3.9999999999999998E-7</v>
      </c>
      <c r="K54" s="922"/>
      <c r="L54" s="76"/>
      <c r="M54" s="49">
        <v>1</v>
      </c>
      <c r="N54" s="824" t="str">
        <f>VLOOKUP($M54,$M$129:$P$132,2,FALSE)</f>
        <v>Equipe 25</v>
      </c>
      <c r="O54" s="825"/>
      <c r="P54" s="767">
        <f>VLOOKUP($M54,$M$129:$P$132,4,FALSE)</f>
        <v>3.9999999999999998E-7</v>
      </c>
      <c r="Q54" s="922"/>
      <c r="R54" s="105"/>
      <c r="S54" s="49">
        <v>1</v>
      </c>
      <c r="T54" s="824" t="str">
        <f>VLOOKUP($S54,$S$129:$V$132,2,FALSE)</f>
        <v>Equipe 29</v>
      </c>
      <c r="U54" s="825"/>
      <c r="V54" s="767">
        <f>VLOOKUP($S54,$S$129:$V$132,4,FALSE)</f>
        <v>3.9999999999999998E-7</v>
      </c>
      <c r="W54" s="922"/>
      <c r="X54" s="172"/>
    </row>
    <row r="55" spans="1:24" ht="14.45" customHeight="1" x14ac:dyDescent="0.25">
      <c r="A55" s="49">
        <v>2</v>
      </c>
      <c r="B55" s="824" t="str">
        <f>VLOOKUP($A55,$A$129:$D$132,2,FALSE)</f>
        <v>Equipe 18</v>
      </c>
      <c r="C55" s="825"/>
      <c r="D55" s="882">
        <f>VLOOKUP($A55,$A$129:$D$132,4,FALSE)</f>
        <v>2.9999999999999999E-7</v>
      </c>
      <c r="E55" s="1079"/>
      <c r="F55" s="105"/>
      <c r="G55" s="49">
        <v>2</v>
      </c>
      <c r="H55" s="824" t="str">
        <f>VLOOKUP($G55,$G$129:$J$132,2,FALSE)</f>
        <v>Equipe 22</v>
      </c>
      <c r="I55" s="825"/>
      <c r="J55" s="767">
        <f>VLOOKUP($G55,$G$129:$J$132,4,FALSE)</f>
        <v>2.9999999999999999E-7</v>
      </c>
      <c r="K55" s="922"/>
      <c r="L55" s="76"/>
      <c r="M55" s="49">
        <v>2</v>
      </c>
      <c r="N55" s="824" t="str">
        <f>VLOOKUP($M55,$M$129:$P$132,2,FALSE)</f>
        <v>Equipe 26</v>
      </c>
      <c r="O55" s="825"/>
      <c r="P55" s="767">
        <f>VLOOKUP($M55,$M$129:$P$132,4,FALSE)</f>
        <v>2.9999999999999999E-7</v>
      </c>
      <c r="Q55" s="922"/>
      <c r="R55" s="105"/>
      <c r="S55" s="49">
        <v>2</v>
      </c>
      <c r="T55" s="824" t="str">
        <f>VLOOKUP($S55,$S$129:$V$132,2,FALSE)</f>
        <v>Equipe 30</v>
      </c>
      <c r="U55" s="825"/>
      <c r="V55" s="767">
        <f>VLOOKUP($S55,$S$129:$V$132,4,FALSE)</f>
        <v>2.9999999999999999E-7</v>
      </c>
      <c r="W55" s="922"/>
      <c r="X55" s="172"/>
    </row>
    <row r="56" spans="1:24" ht="15" customHeight="1" x14ac:dyDescent="0.25">
      <c r="A56" s="49">
        <v>3</v>
      </c>
      <c r="B56" s="824" t="str">
        <f>VLOOKUP($A56,$A$129:$D$132,2,FALSE)</f>
        <v>Equipe 19</v>
      </c>
      <c r="C56" s="825"/>
      <c r="D56" s="882">
        <f>VLOOKUP($A56,$A$129:$D$132,4,FALSE)</f>
        <v>1.9999999999999999E-7</v>
      </c>
      <c r="E56" s="1079"/>
      <c r="F56" s="105"/>
      <c r="G56" s="49">
        <v>3</v>
      </c>
      <c r="H56" s="824" t="str">
        <f>VLOOKUP($G56,$G$129:$J$132,2,FALSE)</f>
        <v>Equipe 23</v>
      </c>
      <c r="I56" s="825"/>
      <c r="J56" s="767">
        <f>VLOOKUP($G56,$G$129:$J$132,4,FALSE)</f>
        <v>1.9999999999999999E-7</v>
      </c>
      <c r="K56" s="922"/>
      <c r="L56" s="76"/>
      <c r="M56" s="49">
        <v>3</v>
      </c>
      <c r="N56" s="824" t="str">
        <f>VLOOKUP($M56,$M$129:$P$132,2,FALSE)</f>
        <v>Equipe 27</v>
      </c>
      <c r="O56" s="825"/>
      <c r="P56" s="767">
        <f>VLOOKUP($M56,$M$129:$P$132,4,FALSE)</f>
        <v>1.9999999999999999E-7</v>
      </c>
      <c r="Q56" s="922"/>
      <c r="R56" s="105"/>
      <c r="S56" s="49">
        <v>3</v>
      </c>
      <c r="T56" s="824" t="str">
        <f>VLOOKUP($S56,$S$129:$V$132,2,FALSE)</f>
        <v>Equipe 31</v>
      </c>
      <c r="U56" s="825"/>
      <c r="V56" s="767">
        <f>VLOOKUP($S56,$S$129:$V$132,4,FALSE)</f>
        <v>1.9999999999999999E-7</v>
      </c>
      <c r="W56" s="922"/>
    </row>
    <row r="57" spans="1:24" s="2" customFormat="1" ht="15.75" thickBot="1" x14ac:dyDescent="0.3">
      <c r="A57" s="50">
        <v>4</v>
      </c>
      <c r="B57" s="1077" t="str">
        <f>VLOOKUP($A57,$A$129:$D$132,2,FALSE)</f>
        <v>Equipe 20</v>
      </c>
      <c r="C57" s="1078"/>
      <c r="D57" s="1158">
        <f>VLOOKUP($A57,$A$129:$D$132,4,FALSE)</f>
        <v>9.9999999999999995E-8</v>
      </c>
      <c r="E57" s="1159"/>
      <c r="F57" s="123"/>
      <c r="G57" s="50">
        <v>4</v>
      </c>
      <c r="H57" s="1077" t="str">
        <f>VLOOKUP($G57,$G$129:$J$132,2,FALSE)</f>
        <v>Equipe 24</v>
      </c>
      <c r="I57" s="1078"/>
      <c r="J57" s="761">
        <f>VLOOKUP($G57,$G$129:$J$132,4,FALSE)</f>
        <v>9.9999999999999995E-8</v>
      </c>
      <c r="K57" s="1140"/>
      <c r="L57" s="78"/>
      <c r="M57" s="50">
        <v>4</v>
      </c>
      <c r="N57" s="1077" t="str">
        <f>VLOOKUP($M57,$M$129:$P$132,2,FALSE)</f>
        <v>Equipe 28</v>
      </c>
      <c r="O57" s="1078"/>
      <c r="P57" s="761">
        <f>VLOOKUP($M57,$M$129:$P$132,4,FALSE)</f>
        <v>9.9999999999999995E-8</v>
      </c>
      <c r="Q57" s="1140"/>
      <c r="R57" s="123"/>
      <c r="S57" s="50">
        <v>4</v>
      </c>
      <c r="T57" s="1077" t="str">
        <f>VLOOKUP($S57,$S$129:$V$132,2,FALSE)</f>
        <v>Equipe 32</v>
      </c>
      <c r="U57" s="1078"/>
      <c r="V57" s="761">
        <f>VLOOKUP($S57,$S$129:$V$132,4,FALSE)</f>
        <v>9.9999999999999995E-8</v>
      </c>
      <c r="W57" s="1140"/>
    </row>
    <row r="58" spans="1:24" s="2" customFormat="1" ht="15.75" thickBot="1" x14ac:dyDescent="0.3">
      <c r="A58" s="703" t="s">
        <v>34</v>
      </c>
      <c r="B58" s="704"/>
      <c r="C58" s="704"/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4"/>
      <c r="V58" s="704"/>
      <c r="W58" s="705"/>
    </row>
    <row r="59" spans="1:24" ht="15.75" thickBot="1" x14ac:dyDescent="0.3">
      <c r="A59" s="1087" t="s">
        <v>337</v>
      </c>
      <c r="B59" s="1088"/>
      <c r="C59" s="1088"/>
      <c r="D59" s="1088"/>
      <c r="E59" s="1088"/>
      <c r="F59" s="1088"/>
      <c r="G59" s="1088"/>
      <c r="H59" s="1088"/>
      <c r="I59" s="1088"/>
      <c r="J59" s="1088"/>
      <c r="K59" s="1088"/>
      <c r="L59" s="1088"/>
      <c r="M59" s="1088"/>
      <c r="N59" s="1088"/>
      <c r="O59" s="1088"/>
      <c r="P59" s="1088"/>
      <c r="Q59" s="1088"/>
      <c r="R59" s="1088"/>
      <c r="S59" s="1088"/>
      <c r="T59" s="1088"/>
      <c r="U59" s="1088"/>
      <c r="V59" s="1088"/>
      <c r="W59" s="1089"/>
    </row>
    <row r="60" spans="1:24" ht="14.45" customHeight="1" thickBot="1" x14ac:dyDescent="0.3">
      <c r="A60" s="1093" t="s">
        <v>275</v>
      </c>
      <c r="B60" s="1094"/>
      <c r="C60" s="1094"/>
      <c r="D60" s="1094"/>
      <c r="E60" s="1094"/>
      <c r="F60" s="1094"/>
      <c r="G60" s="1094"/>
      <c r="H60" s="1094"/>
      <c r="I60" s="1094"/>
      <c r="J60" s="1094"/>
      <c r="K60" s="1094"/>
      <c r="L60" s="1094"/>
      <c r="M60" s="1094"/>
      <c r="N60" s="1094"/>
      <c r="O60" s="1094"/>
      <c r="P60" s="1094"/>
      <c r="Q60" s="1094"/>
      <c r="R60" s="1094"/>
      <c r="S60" s="1094"/>
      <c r="T60" s="1094"/>
      <c r="U60" s="1094"/>
      <c r="V60" s="1094"/>
      <c r="W60" s="1095"/>
    </row>
    <row r="61" spans="1:24" ht="21.75" thickBot="1" x14ac:dyDescent="0.4">
      <c r="A61" s="1141" t="s">
        <v>61</v>
      </c>
      <c r="B61" s="1142"/>
      <c r="C61" s="1142"/>
      <c r="D61" s="1142"/>
      <c r="E61" s="1142"/>
      <c r="F61" s="1142"/>
      <c r="G61" s="1142"/>
      <c r="H61" s="1142"/>
      <c r="I61" s="520" t="s">
        <v>18</v>
      </c>
      <c r="J61" s="782">
        <v>8.3333333333333332E-3</v>
      </c>
      <c r="K61" s="782"/>
      <c r="L61" s="782"/>
      <c r="M61" s="527" t="s">
        <v>17</v>
      </c>
      <c r="N61" s="520"/>
      <c r="O61" s="686"/>
      <c r="P61" s="686"/>
      <c r="Q61" s="686"/>
      <c r="R61" s="686"/>
      <c r="S61" s="686"/>
      <c r="T61" s="686"/>
      <c r="U61" s="686"/>
      <c r="V61" s="686"/>
      <c r="W61" s="781"/>
    </row>
    <row r="62" spans="1:24" ht="16.5" thickBot="1" x14ac:dyDescent="0.3">
      <c r="A62" s="780" t="s">
        <v>87</v>
      </c>
      <c r="B62" s="686"/>
      <c r="C62" s="686"/>
      <c r="D62" s="686"/>
      <c r="E62" s="686"/>
      <c r="F62" s="686"/>
      <c r="G62" s="686"/>
      <c r="H62" s="686"/>
      <c r="I62" s="686"/>
      <c r="J62" s="686"/>
      <c r="K62" s="781"/>
      <c r="L62" s="579"/>
      <c r="M62" s="780" t="s">
        <v>88</v>
      </c>
      <c r="N62" s="686"/>
      <c r="O62" s="686"/>
      <c r="P62" s="686"/>
      <c r="Q62" s="686"/>
      <c r="R62" s="686"/>
      <c r="S62" s="686"/>
      <c r="T62" s="686"/>
      <c r="U62" s="686"/>
      <c r="V62" s="686"/>
      <c r="W62" s="781"/>
    </row>
    <row r="63" spans="1:24" ht="15" customHeight="1" x14ac:dyDescent="0.25">
      <c r="A63" s="6"/>
      <c r="B63" s="744" t="s">
        <v>41</v>
      </c>
      <c r="C63" s="745"/>
      <c r="D63" s="744" t="s">
        <v>15</v>
      </c>
      <c r="E63" s="746"/>
      <c r="F63" s="577"/>
      <c r="G63" s="7"/>
      <c r="H63" s="747" t="s">
        <v>42</v>
      </c>
      <c r="I63" s="748"/>
      <c r="J63" s="747" t="s">
        <v>15</v>
      </c>
      <c r="K63" s="749"/>
      <c r="L63" s="580"/>
      <c r="M63" s="8"/>
      <c r="N63" s="804" t="s">
        <v>43</v>
      </c>
      <c r="O63" s="805"/>
      <c r="P63" s="804" t="s">
        <v>15</v>
      </c>
      <c r="Q63" s="806"/>
      <c r="R63" s="577"/>
      <c r="S63" s="9"/>
      <c r="T63" s="807" t="s">
        <v>55</v>
      </c>
      <c r="U63" s="808"/>
      <c r="V63" s="807" t="s">
        <v>15</v>
      </c>
      <c r="W63" s="809"/>
    </row>
    <row r="64" spans="1:24" ht="15" customHeight="1" x14ac:dyDescent="0.25">
      <c r="A64" s="10">
        <v>1</v>
      </c>
      <c r="B64" s="905" t="str">
        <f>IF($D$15="","4eme A",B31)</f>
        <v>4eme A</v>
      </c>
      <c r="C64" s="933"/>
      <c r="D64" s="725">
        <f>A163+A167+A171+C158/1000000</f>
        <v>0</v>
      </c>
      <c r="E64" s="726"/>
      <c r="F64" s="577"/>
      <c r="G64" s="11">
        <v>1</v>
      </c>
      <c r="H64" s="907" t="str">
        <f>IF($D$15="","4eme E",B57)</f>
        <v>4eme E</v>
      </c>
      <c r="I64" s="934"/>
      <c r="J64" s="729">
        <f>G163+G167+G171+I158/1000000</f>
        <v>0</v>
      </c>
      <c r="K64" s="730"/>
      <c r="L64" s="580"/>
      <c r="M64" s="12">
        <v>1</v>
      </c>
      <c r="N64" s="844" t="str">
        <f>IF($D$15="","3eme A",B30)</f>
        <v>3eme A</v>
      </c>
      <c r="O64" s="845"/>
      <c r="P64" s="802">
        <f>M163+M167+M171+O158/1000000</f>
        <v>0</v>
      </c>
      <c r="Q64" s="803"/>
      <c r="R64" s="577"/>
      <c r="S64" s="13">
        <v>1</v>
      </c>
      <c r="T64" s="835" t="str">
        <f>IF($D$15="","3eme E",B56)</f>
        <v>3eme E</v>
      </c>
      <c r="U64" s="836"/>
      <c r="V64" s="798">
        <f>S163+S167+S171+U158/1000000</f>
        <v>0</v>
      </c>
      <c r="W64" s="799"/>
    </row>
    <row r="65" spans="1:23" ht="15" customHeight="1" x14ac:dyDescent="0.25">
      <c r="A65" s="10">
        <v>2</v>
      </c>
      <c r="B65" s="905" t="str">
        <f>IF($D$15="","4eme B",H31)</f>
        <v>4eme B</v>
      </c>
      <c r="C65" s="933"/>
      <c r="D65" s="725">
        <f>B163+A168+A172+C159/1000000</f>
        <v>0</v>
      </c>
      <c r="E65" s="726"/>
      <c r="F65" s="577"/>
      <c r="G65" s="11">
        <v>2</v>
      </c>
      <c r="H65" s="907" t="str">
        <f>IF($D$15="","4eme F",H57)</f>
        <v>4eme F</v>
      </c>
      <c r="I65" s="934"/>
      <c r="J65" s="729">
        <f>H163+G168+G172+I159/1000000</f>
        <v>0</v>
      </c>
      <c r="K65" s="730"/>
      <c r="L65" s="580"/>
      <c r="M65" s="12">
        <v>2</v>
      </c>
      <c r="N65" s="844" t="str">
        <f>IF($D$15="","3eme B",H30)</f>
        <v>3eme B</v>
      </c>
      <c r="O65" s="845"/>
      <c r="P65" s="802">
        <f>N163+M168+M172+O159/1000000</f>
        <v>0</v>
      </c>
      <c r="Q65" s="803"/>
      <c r="R65" s="577"/>
      <c r="S65" s="13">
        <v>2</v>
      </c>
      <c r="T65" s="835" t="str">
        <f>IF($D$15="","3eme F",H56)</f>
        <v>3eme F</v>
      </c>
      <c r="U65" s="836"/>
      <c r="V65" s="798">
        <f>T163+S168+S172+U159/1000000</f>
        <v>0</v>
      </c>
      <c r="W65" s="799"/>
    </row>
    <row r="66" spans="1:23" ht="15" customHeight="1" x14ac:dyDescent="0.25">
      <c r="A66" s="10">
        <v>3</v>
      </c>
      <c r="B66" s="905" t="str">
        <f>IF($D$15="","3eme C",N30)</f>
        <v>3eme C</v>
      </c>
      <c r="C66" s="933"/>
      <c r="D66" s="725">
        <f>A164+B167+B172+C160/1000000</f>
        <v>0</v>
      </c>
      <c r="E66" s="726"/>
      <c r="F66" s="577"/>
      <c r="G66" s="11">
        <v>3</v>
      </c>
      <c r="H66" s="907" t="str">
        <f>IF($D$15="","3eme G",N56)</f>
        <v>3eme G</v>
      </c>
      <c r="I66" s="934"/>
      <c r="J66" s="729">
        <f>G164+H167+H172+I160/1000000</f>
        <v>0</v>
      </c>
      <c r="K66" s="730"/>
      <c r="L66" s="580"/>
      <c r="M66" s="12">
        <v>3</v>
      </c>
      <c r="N66" s="844" t="str">
        <f>IF($D$15="","4eme C",N31)</f>
        <v>4eme C</v>
      </c>
      <c r="O66" s="845"/>
      <c r="P66" s="802">
        <f>M164+N167+N172+O160/1000000</f>
        <v>0</v>
      </c>
      <c r="Q66" s="803"/>
      <c r="R66" s="577"/>
      <c r="S66" s="13">
        <v>3</v>
      </c>
      <c r="T66" s="835" t="str">
        <f>IF($D$15="","4eme G",N57)</f>
        <v>4eme G</v>
      </c>
      <c r="U66" s="836"/>
      <c r="V66" s="798">
        <f>S164+T167+T172+U160/1000000</f>
        <v>0</v>
      </c>
      <c r="W66" s="799"/>
    </row>
    <row r="67" spans="1:23" ht="15.75" customHeight="1" thickBot="1" x14ac:dyDescent="0.3">
      <c r="A67" s="15">
        <v>4</v>
      </c>
      <c r="B67" s="901" t="str">
        <f>IF($D$15="","3eme D",T30)</f>
        <v>3eme D</v>
      </c>
      <c r="C67" s="939"/>
      <c r="D67" s="719">
        <f>B164+B168+B171+C161/1000000</f>
        <v>0</v>
      </c>
      <c r="E67" s="720"/>
      <c r="F67" s="577"/>
      <c r="G67" s="16">
        <v>4</v>
      </c>
      <c r="H67" s="903" t="str">
        <f>IF($D$15="","3eme H",T56)</f>
        <v>3eme H</v>
      </c>
      <c r="I67" s="940"/>
      <c r="J67" s="723">
        <f>H164+H168+H171+I161/1000000</f>
        <v>0</v>
      </c>
      <c r="K67" s="724"/>
      <c r="L67" s="580"/>
      <c r="M67" s="17">
        <v>4</v>
      </c>
      <c r="N67" s="846" t="str">
        <f>IF($D$15="","4eme D",T31)</f>
        <v>4eme D</v>
      </c>
      <c r="O67" s="847"/>
      <c r="P67" s="794">
        <f>N164+N168+N171+O161/1000000</f>
        <v>0</v>
      </c>
      <c r="Q67" s="795"/>
      <c r="R67" s="577"/>
      <c r="S67" s="18">
        <v>4</v>
      </c>
      <c r="T67" s="837" t="str">
        <f>IF($D$15="","4eme H",T57)</f>
        <v>4eme H</v>
      </c>
      <c r="U67" s="838"/>
      <c r="V67" s="790">
        <f>T164+T168+T171+U161/1000000</f>
        <v>0</v>
      </c>
      <c r="W67" s="791"/>
    </row>
    <row r="68" spans="1:23" ht="5.0999999999999996" customHeight="1" thickBot="1" x14ac:dyDescent="0.3">
      <c r="A68" s="19"/>
      <c r="B68" s="2"/>
      <c r="C68" s="2"/>
      <c r="D68" s="2"/>
      <c r="E68" s="21"/>
      <c r="F68" s="577"/>
      <c r="G68" s="19"/>
      <c r="H68" s="2"/>
      <c r="I68" s="22"/>
      <c r="J68" s="2"/>
      <c r="K68" s="21"/>
      <c r="L68" s="580"/>
      <c r="M68" s="19"/>
      <c r="N68" s="2"/>
      <c r="O68" s="2"/>
      <c r="P68" s="2"/>
      <c r="Q68" s="21"/>
      <c r="R68" s="577"/>
      <c r="S68" s="19"/>
      <c r="T68" s="2"/>
      <c r="U68" s="2"/>
      <c r="V68" s="2"/>
      <c r="W68" s="21"/>
    </row>
    <row r="69" spans="1:23" s="29" customFormat="1" ht="15" customHeight="1" x14ac:dyDescent="0.25">
      <c r="A69" s="24"/>
      <c r="B69" s="713" t="s">
        <v>5</v>
      </c>
      <c r="C69" s="713"/>
      <c r="D69" s="713" t="s">
        <v>16</v>
      </c>
      <c r="E69" s="714"/>
      <c r="F69" s="577"/>
      <c r="G69" s="26"/>
      <c r="H69" s="715" t="s">
        <v>5</v>
      </c>
      <c r="I69" s="715"/>
      <c r="J69" s="715" t="s">
        <v>16</v>
      </c>
      <c r="K69" s="716"/>
      <c r="L69" s="580"/>
      <c r="M69" s="27"/>
      <c r="N69" s="786" t="s">
        <v>5</v>
      </c>
      <c r="O69" s="786"/>
      <c r="P69" s="786" t="s">
        <v>16</v>
      </c>
      <c r="Q69" s="787"/>
      <c r="R69" s="577"/>
      <c r="S69" s="28"/>
      <c r="T69" s="784" t="s">
        <v>5</v>
      </c>
      <c r="U69" s="784"/>
      <c r="V69" s="784" t="s">
        <v>16</v>
      </c>
      <c r="W69" s="785"/>
    </row>
    <row r="70" spans="1:23" ht="15" customHeight="1" x14ac:dyDescent="0.25">
      <c r="A70" s="30">
        <f>G50+J6+L5</f>
        <v>0.56250000000000011</v>
      </c>
      <c r="B70" s="31" t="str">
        <f>B64</f>
        <v>4eme A</v>
      </c>
      <c r="C70" s="31" t="str">
        <f>B65</f>
        <v>4eme B</v>
      </c>
      <c r="D70" s="53"/>
      <c r="E70" s="54"/>
      <c r="F70" s="577"/>
      <c r="G70" s="32">
        <f>A71+$J$61+$R$5</f>
        <v>0.58333333333333337</v>
      </c>
      <c r="H70" s="33" t="str">
        <f>H64</f>
        <v>4eme E</v>
      </c>
      <c r="I70" s="33" t="str">
        <f>H65</f>
        <v>4eme F</v>
      </c>
      <c r="J70" s="57"/>
      <c r="K70" s="58"/>
      <c r="L70" s="580"/>
      <c r="M70" s="34">
        <f>A70</f>
        <v>0.56250000000000011</v>
      </c>
      <c r="N70" s="35" t="str">
        <f>N64</f>
        <v>3eme A</v>
      </c>
      <c r="O70" s="35" t="str">
        <f>N65</f>
        <v>3eme B</v>
      </c>
      <c r="P70" s="61"/>
      <c r="Q70" s="62"/>
      <c r="R70" s="577"/>
      <c r="S70" s="36">
        <f>G70</f>
        <v>0.58333333333333337</v>
      </c>
      <c r="T70" s="37" t="str">
        <f>T64</f>
        <v>3eme E</v>
      </c>
      <c r="U70" s="37" t="str">
        <f>T65</f>
        <v>3eme F</v>
      </c>
      <c r="V70" s="65"/>
      <c r="W70" s="66"/>
    </row>
    <row r="71" spans="1:23" ht="15.75" customHeight="1" thickBot="1" x14ac:dyDescent="0.3">
      <c r="A71" s="38">
        <f>A70+$J$61+R5</f>
        <v>0.57291666666666674</v>
      </c>
      <c r="B71" s="39" t="str">
        <f>B66</f>
        <v>3eme C</v>
      </c>
      <c r="C71" s="39" t="str">
        <f>B67</f>
        <v>3eme D</v>
      </c>
      <c r="D71" s="55"/>
      <c r="E71" s="56"/>
      <c r="F71" s="577"/>
      <c r="G71" s="40">
        <f>G70+$J$61+R5</f>
        <v>0.59375</v>
      </c>
      <c r="H71" s="41" t="str">
        <f>H66</f>
        <v>3eme G</v>
      </c>
      <c r="I71" s="41" t="str">
        <f>H67</f>
        <v>3eme H</v>
      </c>
      <c r="J71" s="59"/>
      <c r="K71" s="60"/>
      <c r="L71" s="580"/>
      <c r="M71" s="42">
        <f>A71</f>
        <v>0.57291666666666674</v>
      </c>
      <c r="N71" s="43" t="str">
        <f>N66</f>
        <v>4eme C</v>
      </c>
      <c r="O71" s="43" t="str">
        <f>N67</f>
        <v>4eme D</v>
      </c>
      <c r="P71" s="63"/>
      <c r="Q71" s="64"/>
      <c r="R71" s="577"/>
      <c r="S71" s="44">
        <f>G71</f>
        <v>0.59375</v>
      </c>
      <c r="T71" s="45" t="str">
        <f>T66</f>
        <v>4eme G</v>
      </c>
      <c r="U71" s="45" t="str">
        <f>T67</f>
        <v>4eme H</v>
      </c>
      <c r="V71" s="67"/>
      <c r="W71" s="68"/>
    </row>
    <row r="72" spans="1:23" ht="5.0999999999999996" customHeight="1" thickBot="1" x14ac:dyDescent="0.3">
      <c r="A72" s="19"/>
      <c r="B72" s="2"/>
      <c r="C72" s="2"/>
      <c r="D72" s="521"/>
      <c r="E72" s="522"/>
      <c r="F72" s="577"/>
      <c r="G72" s="19"/>
      <c r="H72" s="2"/>
      <c r="I72" s="47"/>
      <c r="J72" s="521"/>
      <c r="K72" s="522"/>
      <c r="L72" s="580"/>
      <c r="M72" s="19"/>
      <c r="N72" s="2"/>
      <c r="O72" s="2"/>
      <c r="P72" s="521"/>
      <c r="Q72" s="522"/>
      <c r="R72" s="577"/>
      <c r="S72" s="19"/>
      <c r="T72" s="2"/>
      <c r="U72" s="2"/>
      <c r="V72" s="521"/>
      <c r="W72" s="522"/>
    </row>
    <row r="73" spans="1:23" s="29" customFormat="1" ht="15" customHeight="1" x14ac:dyDescent="0.25">
      <c r="A73" s="24"/>
      <c r="B73" s="713" t="s">
        <v>6</v>
      </c>
      <c r="C73" s="713"/>
      <c r="D73" s="713" t="s">
        <v>16</v>
      </c>
      <c r="E73" s="714"/>
      <c r="F73" s="577"/>
      <c r="G73" s="26"/>
      <c r="H73" s="715" t="s">
        <v>6</v>
      </c>
      <c r="I73" s="715"/>
      <c r="J73" s="715" t="s">
        <v>16</v>
      </c>
      <c r="K73" s="716"/>
      <c r="L73" s="580"/>
      <c r="M73" s="27"/>
      <c r="N73" s="786" t="s">
        <v>6</v>
      </c>
      <c r="O73" s="786"/>
      <c r="P73" s="786" t="s">
        <v>16</v>
      </c>
      <c r="Q73" s="787"/>
      <c r="R73" s="577"/>
      <c r="S73" s="28"/>
      <c r="T73" s="784" t="s">
        <v>6</v>
      </c>
      <c r="U73" s="784"/>
      <c r="V73" s="784" t="s">
        <v>16</v>
      </c>
      <c r="W73" s="785"/>
    </row>
    <row r="74" spans="1:23" ht="15" customHeight="1" x14ac:dyDescent="0.25">
      <c r="A74" s="30">
        <f>G71+$J$61+R5</f>
        <v>0.60416666666666663</v>
      </c>
      <c r="B74" s="31" t="str">
        <f>B64</f>
        <v>4eme A</v>
      </c>
      <c r="C74" s="31" t="str">
        <f>B66</f>
        <v>3eme C</v>
      </c>
      <c r="D74" s="53"/>
      <c r="E74" s="54"/>
      <c r="F74" s="577"/>
      <c r="G74" s="32">
        <f>A75+$J$61+$R$5</f>
        <v>0.62499999999999989</v>
      </c>
      <c r="H74" s="33" t="str">
        <f>H64</f>
        <v>4eme E</v>
      </c>
      <c r="I74" s="33" t="str">
        <f>H66</f>
        <v>3eme G</v>
      </c>
      <c r="J74" s="57"/>
      <c r="K74" s="58"/>
      <c r="L74" s="580"/>
      <c r="M74" s="34">
        <f>A74</f>
        <v>0.60416666666666663</v>
      </c>
      <c r="N74" s="35" t="str">
        <f>N64</f>
        <v>3eme A</v>
      </c>
      <c r="O74" s="35" t="str">
        <f>N66</f>
        <v>4eme C</v>
      </c>
      <c r="P74" s="61"/>
      <c r="Q74" s="62"/>
      <c r="R74" s="577"/>
      <c r="S74" s="36">
        <f>G74</f>
        <v>0.62499999999999989</v>
      </c>
      <c r="T74" s="37" t="str">
        <f>T64</f>
        <v>3eme E</v>
      </c>
      <c r="U74" s="37" t="str">
        <f>T66</f>
        <v>4eme G</v>
      </c>
      <c r="V74" s="65"/>
      <c r="W74" s="66"/>
    </row>
    <row r="75" spans="1:23" ht="15.75" customHeight="1" thickBot="1" x14ac:dyDescent="0.3">
      <c r="A75" s="38">
        <f>A74+$J$61+R5</f>
        <v>0.61458333333333326</v>
      </c>
      <c r="B75" s="39" t="str">
        <f>B65</f>
        <v>4eme B</v>
      </c>
      <c r="C75" s="39" t="str">
        <f>B67</f>
        <v>3eme D</v>
      </c>
      <c r="D75" s="55"/>
      <c r="E75" s="56"/>
      <c r="F75" s="577"/>
      <c r="G75" s="40">
        <f>G74+$J$61+R5</f>
        <v>0.63541666666666652</v>
      </c>
      <c r="H75" s="41" t="str">
        <f>H65</f>
        <v>4eme F</v>
      </c>
      <c r="I75" s="41" t="str">
        <f>H67</f>
        <v>3eme H</v>
      </c>
      <c r="J75" s="59"/>
      <c r="K75" s="60"/>
      <c r="L75" s="580"/>
      <c r="M75" s="42">
        <f>A75</f>
        <v>0.61458333333333326</v>
      </c>
      <c r="N75" s="43" t="str">
        <f>N65</f>
        <v>3eme B</v>
      </c>
      <c r="O75" s="43" t="str">
        <f>N67</f>
        <v>4eme D</v>
      </c>
      <c r="P75" s="63"/>
      <c r="Q75" s="64"/>
      <c r="R75" s="577"/>
      <c r="S75" s="44">
        <f>G75</f>
        <v>0.63541666666666652</v>
      </c>
      <c r="T75" s="45" t="str">
        <f>T65</f>
        <v>3eme F</v>
      </c>
      <c r="U75" s="45" t="str">
        <f>T67</f>
        <v>4eme H</v>
      </c>
      <c r="V75" s="67"/>
      <c r="W75" s="68"/>
    </row>
    <row r="76" spans="1:23" ht="5.0999999999999996" customHeight="1" thickBot="1" x14ac:dyDescent="0.3">
      <c r="A76" s="19"/>
      <c r="B76" s="2"/>
      <c r="C76" s="2"/>
      <c r="D76" s="521"/>
      <c r="E76" s="522"/>
      <c r="F76" s="577"/>
      <c r="G76" s="19"/>
      <c r="H76" s="2"/>
      <c r="I76" s="47"/>
      <c r="J76" s="521"/>
      <c r="K76" s="522"/>
      <c r="L76" s="580"/>
      <c r="M76" s="19"/>
      <c r="N76" s="2"/>
      <c r="O76" s="2"/>
      <c r="P76" s="521"/>
      <c r="Q76" s="522"/>
      <c r="R76" s="577"/>
      <c r="S76" s="19"/>
      <c r="T76" s="2"/>
      <c r="U76" s="2"/>
      <c r="V76" s="521"/>
      <c r="W76" s="522"/>
    </row>
    <row r="77" spans="1:23" s="29" customFormat="1" ht="15" customHeight="1" x14ac:dyDescent="0.25">
      <c r="A77" s="24"/>
      <c r="B77" s="713" t="s">
        <v>7</v>
      </c>
      <c r="C77" s="713"/>
      <c r="D77" s="713" t="s">
        <v>16</v>
      </c>
      <c r="E77" s="714"/>
      <c r="F77" s="577"/>
      <c r="G77" s="26"/>
      <c r="H77" s="715" t="s">
        <v>7</v>
      </c>
      <c r="I77" s="715"/>
      <c r="J77" s="715" t="s">
        <v>16</v>
      </c>
      <c r="K77" s="716"/>
      <c r="L77" s="580"/>
      <c r="M77" s="27"/>
      <c r="N77" s="786" t="s">
        <v>7</v>
      </c>
      <c r="O77" s="786"/>
      <c r="P77" s="786" t="s">
        <v>16</v>
      </c>
      <c r="Q77" s="787"/>
      <c r="R77" s="577"/>
      <c r="S77" s="28"/>
      <c r="T77" s="784" t="s">
        <v>7</v>
      </c>
      <c r="U77" s="784"/>
      <c r="V77" s="784" t="s">
        <v>16</v>
      </c>
      <c r="W77" s="785"/>
    </row>
    <row r="78" spans="1:23" ht="15" customHeight="1" x14ac:dyDescent="0.25">
      <c r="A78" s="30">
        <f>G75+$J$61+R5</f>
        <v>0.64583333333333315</v>
      </c>
      <c r="B78" s="31" t="str">
        <f>B64</f>
        <v>4eme A</v>
      </c>
      <c r="C78" s="31" t="str">
        <f>B67</f>
        <v>3eme D</v>
      </c>
      <c r="D78" s="53"/>
      <c r="E78" s="54"/>
      <c r="F78" s="577"/>
      <c r="G78" s="32">
        <f>A79+$J$61+$R$5</f>
        <v>0.66666666666666641</v>
      </c>
      <c r="H78" s="33" t="str">
        <f>H64</f>
        <v>4eme E</v>
      </c>
      <c r="I78" s="33" t="str">
        <f>H67</f>
        <v>3eme H</v>
      </c>
      <c r="J78" s="57"/>
      <c r="K78" s="58"/>
      <c r="L78" s="580"/>
      <c r="M78" s="34">
        <f>A78</f>
        <v>0.64583333333333315</v>
      </c>
      <c r="N78" s="35" t="str">
        <f>N64</f>
        <v>3eme A</v>
      </c>
      <c r="O78" s="35" t="str">
        <f>N67</f>
        <v>4eme D</v>
      </c>
      <c r="P78" s="61"/>
      <c r="Q78" s="62"/>
      <c r="R78" s="577"/>
      <c r="S78" s="36">
        <f>G78</f>
        <v>0.66666666666666641</v>
      </c>
      <c r="T78" s="37" t="str">
        <f>T64</f>
        <v>3eme E</v>
      </c>
      <c r="U78" s="37" t="str">
        <f>T67</f>
        <v>4eme H</v>
      </c>
      <c r="V78" s="65"/>
      <c r="W78" s="66"/>
    </row>
    <row r="79" spans="1:23" ht="15.75" customHeight="1" thickBot="1" x14ac:dyDescent="0.3">
      <c r="A79" s="38">
        <f>A78+$J$61+R5</f>
        <v>0.65624999999999978</v>
      </c>
      <c r="B79" s="39" t="str">
        <f>B65</f>
        <v>4eme B</v>
      </c>
      <c r="C79" s="39" t="str">
        <f>B66</f>
        <v>3eme C</v>
      </c>
      <c r="D79" s="55"/>
      <c r="E79" s="56"/>
      <c r="F79" s="578"/>
      <c r="G79" s="40">
        <f>G78+$J$61+R5</f>
        <v>0.67708333333333304</v>
      </c>
      <c r="H79" s="41" t="str">
        <f>H65</f>
        <v>4eme F</v>
      </c>
      <c r="I79" s="41" t="str">
        <f>H66</f>
        <v>3eme G</v>
      </c>
      <c r="J79" s="59"/>
      <c r="K79" s="60"/>
      <c r="L79" s="580"/>
      <c r="M79" s="42">
        <f>A79</f>
        <v>0.65624999999999978</v>
      </c>
      <c r="N79" s="43" t="str">
        <f>N65</f>
        <v>3eme B</v>
      </c>
      <c r="O79" s="43" t="str">
        <f>N66</f>
        <v>4eme C</v>
      </c>
      <c r="P79" s="63"/>
      <c r="Q79" s="64"/>
      <c r="R79" s="578"/>
      <c r="S79" s="44">
        <f>G79</f>
        <v>0.67708333333333304</v>
      </c>
      <c r="T79" s="45" t="str">
        <f>T65</f>
        <v>3eme F</v>
      </c>
      <c r="U79" s="45" t="str">
        <f>T66</f>
        <v>4eme G</v>
      </c>
      <c r="V79" s="67"/>
      <c r="W79" s="68"/>
    </row>
    <row r="80" spans="1:23" ht="16.5" thickBot="1" x14ac:dyDescent="0.3">
      <c r="A80" s="1151"/>
      <c r="B80" s="1152"/>
      <c r="C80" s="1152"/>
      <c r="D80" s="1152"/>
      <c r="E80" s="1152"/>
      <c r="F80" s="1152"/>
      <c r="G80" s="1152"/>
      <c r="H80" s="1152"/>
      <c r="I80" s="1152"/>
      <c r="J80" s="1152"/>
      <c r="K80" s="1152"/>
      <c r="L80" s="576"/>
      <c r="M80" s="1152"/>
      <c r="N80" s="1152"/>
      <c r="O80" s="1152"/>
      <c r="P80" s="1152"/>
      <c r="Q80" s="1152"/>
      <c r="R80" s="1152"/>
      <c r="S80" s="1152"/>
      <c r="T80" s="1152"/>
      <c r="U80" s="1152"/>
      <c r="V80" s="1152"/>
      <c r="W80" s="1154"/>
    </row>
    <row r="81" spans="1:24" ht="16.5" thickBot="1" x14ac:dyDescent="0.3">
      <c r="A81" s="780" t="s">
        <v>250</v>
      </c>
      <c r="B81" s="686"/>
      <c r="C81" s="686"/>
      <c r="D81" s="686"/>
      <c r="E81" s="686"/>
      <c r="F81" s="686"/>
      <c r="G81" s="686"/>
      <c r="H81" s="686"/>
      <c r="I81" s="686"/>
      <c r="J81" s="686"/>
      <c r="K81" s="781"/>
      <c r="L81" s="580"/>
      <c r="M81" s="780" t="s">
        <v>251</v>
      </c>
      <c r="N81" s="686"/>
      <c r="O81" s="686"/>
      <c r="P81" s="686"/>
      <c r="Q81" s="686"/>
      <c r="R81" s="686"/>
      <c r="S81" s="686"/>
      <c r="T81" s="686"/>
      <c r="U81" s="686"/>
      <c r="V81" s="686"/>
      <c r="W81" s="781"/>
    </row>
    <row r="82" spans="1:24" ht="15" customHeight="1" x14ac:dyDescent="0.25">
      <c r="A82" s="9"/>
      <c r="B82" s="807" t="s">
        <v>91</v>
      </c>
      <c r="C82" s="808"/>
      <c r="D82" s="807" t="s">
        <v>15</v>
      </c>
      <c r="E82" s="809"/>
      <c r="F82" s="577"/>
      <c r="G82" s="8"/>
      <c r="H82" s="804" t="s">
        <v>92</v>
      </c>
      <c r="I82" s="805"/>
      <c r="J82" s="804" t="s">
        <v>15</v>
      </c>
      <c r="K82" s="806"/>
      <c r="L82" s="580"/>
      <c r="M82" s="7"/>
      <c r="N82" s="747" t="s">
        <v>264</v>
      </c>
      <c r="O82" s="748"/>
      <c r="P82" s="747" t="s">
        <v>15</v>
      </c>
      <c r="Q82" s="749"/>
      <c r="R82" s="577"/>
      <c r="S82" s="6"/>
      <c r="T82" s="744" t="s">
        <v>327</v>
      </c>
      <c r="U82" s="745"/>
      <c r="V82" s="744" t="s">
        <v>15</v>
      </c>
      <c r="W82" s="746"/>
    </row>
    <row r="83" spans="1:24" ht="16.350000000000001" customHeight="1" x14ac:dyDescent="0.25">
      <c r="A83" s="13">
        <v>1</v>
      </c>
      <c r="B83" s="835" t="str">
        <f>IF($D$15="","2eme A",B29)</f>
        <v>2eme A</v>
      </c>
      <c r="C83" s="836"/>
      <c r="D83" s="798">
        <f>A189+A193+A197+C184/1000000</f>
        <v>0</v>
      </c>
      <c r="E83" s="799"/>
      <c r="F83" s="577"/>
      <c r="G83" s="12">
        <v>1</v>
      </c>
      <c r="H83" s="844" t="str">
        <f>IF($D$15="","2eme E",B55)</f>
        <v>2eme E</v>
      </c>
      <c r="I83" s="845"/>
      <c r="J83" s="802">
        <f>G189+G193+G197+I184/1000000</f>
        <v>0</v>
      </c>
      <c r="K83" s="803"/>
      <c r="L83" s="580"/>
      <c r="M83" s="11">
        <v>1</v>
      </c>
      <c r="N83" s="907" t="str">
        <f>IF($D$15="","1er A",B28)</f>
        <v>1er A</v>
      </c>
      <c r="O83" s="934"/>
      <c r="P83" s="729">
        <f>M189+M193+M197+O184/1000000</f>
        <v>0</v>
      </c>
      <c r="Q83" s="730"/>
      <c r="R83" s="577"/>
      <c r="S83" s="10">
        <v>1</v>
      </c>
      <c r="T83" s="905" t="str">
        <f>IF($D$15="","1er E",B54)</f>
        <v>1er E</v>
      </c>
      <c r="U83" s="933"/>
      <c r="V83" s="725">
        <f>S189+S193+S197+U184/1000000</f>
        <v>0</v>
      </c>
      <c r="W83" s="726"/>
      <c r="X83" s="74"/>
    </row>
    <row r="84" spans="1:24" ht="16.350000000000001" customHeight="1" x14ac:dyDescent="0.25">
      <c r="A84" s="13">
        <v>2</v>
      </c>
      <c r="B84" s="835" t="str">
        <f>IF($D$15="","2eme B",H29)</f>
        <v>2eme B</v>
      </c>
      <c r="C84" s="836"/>
      <c r="D84" s="798">
        <f>B189+A194+A198+C185/1000000</f>
        <v>0</v>
      </c>
      <c r="E84" s="799"/>
      <c r="F84" s="577"/>
      <c r="G84" s="12">
        <v>2</v>
      </c>
      <c r="H84" s="844" t="str">
        <f>IF($D$15="","2eme F",H55)</f>
        <v>2eme F</v>
      </c>
      <c r="I84" s="845"/>
      <c r="J84" s="802">
        <f>H189+G194+G198+I185/1000000</f>
        <v>0</v>
      </c>
      <c r="K84" s="803"/>
      <c r="L84" s="580"/>
      <c r="M84" s="11">
        <v>2</v>
      </c>
      <c r="N84" s="907" t="str">
        <f>IF($D$15="","1er B",H28)</f>
        <v>1er B</v>
      </c>
      <c r="O84" s="934"/>
      <c r="P84" s="729">
        <f>N189+M194+M198+O185/1000000</f>
        <v>0</v>
      </c>
      <c r="Q84" s="730"/>
      <c r="R84" s="577"/>
      <c r="S84" s="10">
        <v>2</v>
      </c>
      <c r="T84" s="905" t="str">
        <f>IF($D$15="","1er F",H54)</f>
        <v>1er F</v>
      </c>
      <c r="U84" s="933"/>
      <c r="V84" s="725">
        <f>T189+S194+S198+U185/1000000</f>
        <v>0</v>
      </c>
      <c r="W84" s="726"/>
      <c r="X84" s="74"/>
    </row>
    <row r="85" spans="1:24" ht="16.350000000000001" customHeight="1" x14ac:dyDescent="0.25">
      <c r="A85" s="13">
        <v>3</v>
      </c>
      <c r="B85" s="835" t="str">
        <f>IF($D$15="","1er C",N28)</f>
        <v>1er C</v>
      </c>
      <c r="C85" s="836"/>
      <c r="D85" s="798">
        <f>A190+B193+B198+C186/1000000</f>
        <v>0</v>
      </c>
      <c r="E85" s="799"/>
      <c r="F85" s="577"/>
      <c r="G85" s="12">
        <v>3</v>
      </c>
      <c r="H85" s="844" t="str">
        <f>IF($D$15="","1er G",N54)</f>
        <v>1er G</v>
      </c>
      <c r="I85" s="845"/>
      <c r="J85" s="802">
        <f>G190+H193+H198+I186/1000000</f>
        <v>0</v>
      </c>
      <c r="K85" s="803"/>
      <c r="L85" s="580"/>
      <c r="M85" s="11">
        <v>3</v>
      </c>
      <c r="N85" s="907" t="str">
        <f>IF($D$15="","2eme C",N29)</f>
        <v>2eme C</v>
      </c>
      <c r="O85" s="934"/>
      <c r="P85" s="729">
        <f>M190+N193+N198+O186/1000000</f>
        <v>0</v>
      </c>
      <c r="Q85" s="730"/>
      <c r="R85" s="577"/>
      <c r="S85" s="10">
        <v>3</v>
      </c>
      <c r="T85" s="905" t="str">
        <f>IF($D$15="","2eme G",N55)</f>
        <v>2eme G</v>
      </c>
      <c r="U85" s="933"/>
      <c r="V85" s="725">
        <f>S190+T193+T198+U186/1000000</f>
        <v>0</v>
      </c>
      <c r="W85" s="726"/>
    </row>
    <row r="86" spans="1:24" ht="16.350000000000001" customHeight="1" thickBot="1" x14ac:dyDescent="0.3">
      <c r="A86" s="18">
        <v>4</v>
      </c>
      <c r="B86" s="837" t="str">
        <f>IF($D$15="","1er D",T28)</f>
        <v>1er D</v>
      </c>
      <c r="C86" s="838"/>
      <c r="D86" s="790">
        <f>B190+B194+B197+C187/1000000</f>
        <v>0</v>
      </c>
      <c r="E86" s="791"/>
      <c r="F86" s="577"/>
      <c r="G86" s="17">
        <v>4</v>
      </c>
      <c r="H86" s="846" t="str">
        <f>IF($D$15="","1er H",T54)</f>
        <v>1er H</v>
      </c>
      <c r="I86" s="847"/>
      <c r="J86" s="794">
        <f>H190+H194+H197+I187/1000000</f>
        <v>0</v>
      </c>
      <c r="K86" s="795"/>
      <c r="L86" s="580"/>
      <c r="M86" s="16">
        <v>4</v>
      </c>
      <c r="N86" s="903" t="str">
        <f>IF($D$15="","2eme D",T29)</f>
        <v>2eme D</v>
      </c>
      <c r="O86" s="940"/>
      <c r="P86" s="723">
        <f>N190+N194+N197+O187/1000000</f>
        <v>0</v>
      </c>
      <c r="Q86" s="724"/>
      <c r="R86" s="577"/>
      <c r="S86" s="15">
        <v>4</v>
      </c>
      <c r="T86" s="901" t="str">
        <f>IF($D$15="","2eme H",T55)</f>
        <v>2eme H</v>
      </c>
      <c r="U86" s="939"/>
      <c r="V86" s="719">
        <f>T190+T194+T197+U187/1000000</f>
        <v>0</v>
      </c>
      <c r="W86" s="720"/>
    </row>
    <row r="87" spans="1:24" ht="5.0999999999999996" customHeight="1" thickBot="1" x14ac:dyDescent="0.3">
      <c r="A87" s="19"/>
      <c r="B87" s="2"/>
      <c r="C87" s="2"/>
      <c r="D87" s="2"/>
      <c r="E87" s="21"/>
      <c r="F87" s="577"/>
      <c r="G87" s="19"/>
      <c r="H87" s="2"/>
      <c r="I87" s="22"/>
      <c r="J87" s="2"/>
      <c r="K87" s="21"/>
      <c r="L87" s="580"/>
      <c r="M87" s="19"/>
      <c r="N87" s="2"/>
      <c r="O87" s="2"/>
      <c r="P87" s="2"/>
      <c r="Q87" s="21"/>
      <c r="R87" s="577"/>
      <c r="S87" s="19"/>
      <c r="T87" s="2"/>
      <c r="U87" s="2"/>
      <c r="V87" s="2"/>
      <c r="W87" s="21"/>
    </row>
    <row r="88" spans="1:24" ht="15" customHeight="1" x14ac:dyDescent="0.25">
      <c r="A88" s="28"/>
      <c r="B88" s="784" t="s">
        <v>5</v>
      </c>
      <c r="C88" s="784"/>
      <c r="D88" s="784" t="s">
        <v>16</v>
      </c>
      <c r="E88" s="785"/>
      <c r="F88" s="577"/>
      <c r="G88" s="27"/>
      <c r="H88" s="786" t="s">
        <v>5</v>
      </c>
      <c r="I88" s="786"/>
      <c r="J88" s="786" t="s">
        <v>16</v>
      </c>
      <c r="K88" s="787"/>
      <c r="L88" s="580"/>
      <c r="M88" s="26"/>
      <c r="N88" s="715" t="s">
        <v>5</v>
      </c>
      <c r="O88" s="715"/>
      <c r="P88" s="715" t="s">
        <v>16</v>
      </c>
      <c r="Q88" s="716"/>
      <c r="R88" s="577"/>
      <c r="S88" s="24"/>
      <c r="T88" s="713" t="s">
        <v>5</v>
      </c>
      <c r="U88" s="713"/>
      <c r="V88" s="713" t="s">
        <v>16</v>
      </c>
      <c r="W88" s="714"/>
    </row>
    <row r="89" spans="1:24" ht="14.45" customHeight="1" x14ac:dyDescent="0.25">
      <c r="A89" s="36">
        <f>A70</f>
        <v>0.56250000000000011</v>
      </c>
      <c r="B89" s="37" t="str">
        <f>B83</f>
        <v>2eme A</v>
      </c>
      <c r="C89" s="37" t="str">
        <f>B84</f>
        <v>2eme B</v>
      </c>
      <c r="D89" s="65"/>
      <c r="E89" s="66"/>
      <c r="F89" s="577"/>
      <c r="G89" s="34">
        <f>A90+$J$61+$R$5</f>
        <v>0.58333333333333337</v>
      </c>
      <c r="H89" s="35" t="str">
        <f>H83</f>
        <v>2eme E</v>
      </c>
      <c r="I89" s="35" t="str">
        <f>H84</f>
        <v>2eme F</v>
      </c>
      <c r="J89" s="61"/>
      <c r="K89" s="62"/>
      <c r="L89" s="580"/>
      <c r="M89" s="32">
        <f>A89</f>
        <v>0.56250000000000011</v>
      </c>
      <c r="N89" s="33" t="str">
        <f>N83</f>
        <v>1er A</v>
      </c>
      <c r="O89" s="33" t="str">
        <f>N84</f>
        <v>1er B</v>
      </c>
      <c r="P89" s="57"/>
      <c r="Q89" s="58"/>
      <c r="R89" s="577"/>
      <c r="S89" s="30">
        <f>G89</f>
        <v>0.58333333333333337</v>
      </c>
      <c r="T89" s="31" t="str">
        <f>T83</f>
        <v>1er E</v>
      </c>
      <c r="U89" s="31" t="str">
        <f>T84</f>
        <v>1er F</v>
      </c>
      <c r="V89" s="53"/>
      <c r="W89" s="54"/>
    </row>
    <row r="90" spans="1:24" ht="14.45" customHeight="1" thickBot="1" x14ac:dyDescent="0.3">
      <c r="A90" s="44">
        <f>A89+$J$61+R5</f>
        <v>0.57291666666666674</v>
      </c>
      <c r="B90" s="45" t="str">
        <f>B85</f>
        <v>1er C</v>
      </c>
      <c r="C90" s="45" t="str">
        <f>B86</f>
        <v>1er D</v>
      </c>
      <c r="D90" s="67"/>
      <c r="E90" s="68"/>
      <c r="F90" s="577"/>
      <c r="G90" s="42">
        <f>G89+$J$61+R5</f>
        <v>0.59375</v>
      </c>
      <c r="H90" s="43" t="str">
        <f>H85</f>
        <v>1er G</v>
      </c>
      <c r="I90" s="43" t="str">
        <f>H86</f>
        <v>1er H</v>
      </c>
      <c r="J90" s="63"/>
      <c r="K90" s="64"/>
      <c r="L90" s="580"/>
      <c r="M90" s="40">
        <f>A90</f>
        <v>0.57291666666666674</v>
      </c>
      <c r="N90" s="41" t="str">
        <f>N85</f>
        <v>2eme C</v>
      </c>
      <c r="O90" s="41" t="str">
        <f>N86</f>
        <v>2eme D</v>
      </c>
      <c r="P90" s="59"/>
      <c r="Q90" s="60"/>
      <c r="R90" s="577"/>
      <c r="S90" s="38">
        <f>G90</f>
        <v>0.59375</v>
      </c>
      <c r="T90" s="39" t="str">
        <f>T85</f>
        <v>2eme G</v>
      </c>
      <c r="U90" s="39" t="str">
        <f>T86</f>
        <v>2eme H</v>
      </c>
      <c r="V90" s="55"/>
      <c r="W90" s="56"/>
    </row>
    <row r="91" spans="1:24" ht="5.0999999999999996" customHeight="1" thickBot="1" x14ac:dyDescent="0.3">
      <c r="A91" s="19"/>
      <c r="B91" s="2"/>
      <c r="C91" s="2"/>
      <c r="D91" s="521"/>
      <c r="E91" s="522"/>
      <c r="F91" s="577"/>
      <c r="G91" s="19"/>
      <c r="H91" s="2"/>
      <c r="I91" s="47"/>
      <c r="J91" s="521"/>
      <c r="K91" s="522"/>
      <c r="L91" s="580"/>
      <c r="M91" s="19"/>
      <c r="N91" s="2"/>
      <c r="O91" s="2"/>
      <c r="P91" s="521"/>
      <c r="Q91" s="522"/>
      <c r="R91" s="577"/>
      <c r="S91" s="571"/>
      <c r="T91" s="566"/>
      <c r="U91" s="566"/>
      <c r="V91" s="521"/>
      <c r="W91" s="522"/>
    </row>
    <row r="92" spans="1:24" ht="15" customHeight="1" x14ac:dyDescent="0.25">
      <c r="A92" s="28"/>
      <c r="B92" s="784" t="s">
        <v>6</v>
      </c>
      <c r="C92" s="784"/>
      <c r="D92" s="784" t="s">
        <v>16</v>
      </c>
      <c r="E92" s="785"/>
      <c r="F92" s="577"/>
      <c r="G92" s="27"/>
      <c r="H92" s="786" t="s">
        <v>6</v>
      </c>
      <c r="I92" s="786"/>
      <c r="J92" s="786" t="s">
        <v>16</v>
      </c>
      <c r="K92" s="787"/>
      <c r="L92" s="580"/>
      <c r="M92" s="26"/>
      <c r="N92" s="715" t="s">
        <v>6</v>
      </c>
      <c r="O92" s="715"/>
      <c r="P92" s="715" t="s">
        <v>16</v>
      </c>
      <c r="Q92" s="716"/>
      <c r="R92" s="577"/>
      <c r="S92" s="24"/>
      <c r="T92" s="713" t="s">
        <v>6</v>
      </c>
      <c r="U92" s="713"/>
      <c r="V92" s="713" t="s">
        <v>16</v>
      </c>
      <c r="W92" s="714"/>
    </row>
    <row r="93" spans="1:24" ht="14.45" customHeight="1" x14ac:dyDescent="0.25">
      <c r="A93" s="36">
        <f>G90+$J$61+R5</f>
        <v>0.60416666666666663</v>
      </c>
      <c r="B93" s="37" t="str">
        <f>B83</f>
        <v>2eme A</v>
      </c>
      <c r="C93" s="37" t="str">
        <f>B85</f>
        <v>1er C</v>
      </c>
      <c r="D93" s="65"/>
      <c r="E93" s="66"/>
      <c r="F93" s="577"/>
      <c r="G93" s="34">
        <f>A94+$J$61+$R$5</f>
        <v>0.62499999999999989</v>
      </c>
      <c r="H93" s="35" t="str">
        <f>H83</f>
        <v>2eme E</v>
      </c>
      <c r="I93" s="35" t="str">
        <f>H85</f>
        <v>1er G</v>
      </c>
      <c r="J93" s="61"/>
      <c r="K93" s="62"/>
      <c r="L93" s="580"/>
      <c r="M93" s="32">
        <f>A93</f>
        <v>0.60416666666666663</v>
      </c>
      <c r="N93" s="33" t="str">
        <f>N83</f>
        <v>1er A</v>
      </c>
      <c r="O93" s="33" t="str">
        <f>N85</f>
        <v>2eme C</v>
      </c>
      <c r="P93" s="57"/>
      <c r="Q93" s="58"/>
      <c r="R93" s="577"/>
      <c r="S93" s="30">
        <f>G93</f>
        <v>0.62499999999999989</v>
      </c>
      <c r="T93" s="31" t="str">
        <f>T83</f>
        <v>1er E</v>
      </c>
      <c r="U93" s="31" t="str">
        <f>T85</f>
        <v>2eme G</v>
      </c>
      <c r="V93" s="53"/>
      <c r="W93" s="54"/>
    </row>
    <row r="94" spans="1:24" ht="14.45" customHeight="1" thickBot="1" x14ac:dyDescent="0.3">
      <c r="A94" s="44">
        <f>A93+$J$61+R5</f>
        <v>0.61458333333333326</v>
      </c>
      <c r="B94" s="45" t="str">
        <f>B84</f>
        <v>2eme B</v>
      </c>
      <c r="C94" s="45" t="str">
        <f>B86</f>
        <v>1er D</v>
      </c>
      <c r="D94" s="67"/>
      <c r="E94" s="68"/>
      <c r="F94" s="577"/>
      <c r="G94" s="42">
        <f>G93+$J$61+R5</f>
        <v>0.63541666666666652</v>
      </c>
      <c r="H94" s="43" t="str">
        <f>H84</f>
        <v>2eme F</v>
      </c>
      <c r="I94" s="43" t="str">
        <f>H86</f>
        <v>1er H</v>
      </c>
      <c r="J94" s="63"/>
      <c r="K94" s="64"/>
      <c r="L94" s="580"/>
      <c r="M94" s="40">
        <f>A94</f>
        <v>0.61458333333333326</v>
      </c>
      <c r="N94" s="41" t="str">
        <f>N84</f>
        <v>1er B</v>
      </c>
      <c r="O94" s="41" t="str">
        <f>N86</f>
        <v>2eme D</v>
      </c>
      <c r="P94" s="59"/>
      <c r="Q94" s="60"/>
      <c r="R94" s="577"/>
      <c r="S94" s="38">
        <f>G94</f>
        <v>0.63541666666666652</v>
      </c>
      <c r="T94" s="39" t="str">
        <f>T84</f>
        <v>1er F</v>
      </c>
      <c r="U94" s="39" t="str">
        <f>T86</f>
        <v>2eme H</v>
      </c>
      <c r="V94" s="55"/>
      <c r="W94" s="56"/>
    </row>
    <row r="95" spans="1:24" ht="5.0999999999999996" customHeight="1" thickBot="1" x14ac:dyDescent="0.3">
      <c r="A95" s="19"/>
      <c r="B95" s="2"/>
      <c r="C95" s="2"/>
      <c r="D95" s="521"/>
      <c r="E95" s="522"/>
      <c r="F95" s="577"/>
      <c r="G95" s="19"/>
      <c r="H95" s="2"/>
      <c r="I95" s="47"/>
      <c r="J95" s="521"/>
      <c r="K95" s="522"/>
      <c r="L95" s="580"/>
      <c r="M95" s="19"/>
      <c r="N95" s="2"/>
      <c r="O95" s="2"/>
      <c r="P95" s="521"/>
      <c r="Q95" s="522"/>
      <c r="R95" s="577"/>
      <c r="S95" s="571"/>
      <c r="T95" s="566"/>
      <c r="U95" s="566"/>
      <c r="V95" s="521"/>
      <c r="W95" s="522"/>
    </row>
    <row r="96" spans="1:24" ht="14.45" customHeight="1" x14ac:dyDescent="0.25">
      <c r="A96" s="28"/>
      <c r="B96" s="784" t="s">
        <v>7</v>
      </c>
      <c r="C96" s="784"/>
      <c r="D96" s="784" t="s">
        <v>16</v>
      </c>
      <c r="E96" s="785"/>
      <c r="F96" s="577"/>
      <c r="G96" s="27"/>
      <c r="H96" s="786" t="s">
        <v>7</v>
      </c>
      <c r="I96" s="786"/>
      <c r="J96" s="786" t="s">
        <v>16</v>
      </c>
      <c r="K96" s="787"/>
      <c r="L96" s="580"/>
      <c r="M96" s="26"/>
      <c r="N96" s="715" t="s">
        <v>7</v>
      </c>
      <c r="O96" s="715"/>
      <c r="P96" s="715" t="s">
        <v>16</v>
      </c>
      <c r="Q96" s="716"/>
      <c r="R96" s="577"/>
      <c r="S96" s="24"/>
      <c r="T96" s="713" t="s">
        <v>7</v>
      </c>
      <c r="U96" s="713"/>
      <c r="V96" s="713" t="s">
        <v>16</v>
      </c>
      <c r="W96" s="714"/>
    </row>
    <row r="97" spans="1:23" ht="14.45" customHeight="1" x14ac:dyDescent="0.25">
      <c r="A97" s="36">
        <f>G94+$J$61+R5</f>
        <v>0.64583333333333315</v>
      </c>
      <c r="B97" s="37" t="str">
        <f>B83</f>
        <v>2eme A</v>
      </c>
      <c r="C97" s="37" t="str">
        <f>B86</f>
        <v>1er D</v>
      </c>
      <c r="D97" s="65"/>
      <c r="E97" s="66"/>
      <c r="F97" s="577"/>
      <c r="G97" s="34">
        <f>A98+$J$61+$R$5</f>
        <v>0.66666666666666641</v>
      </c>
      <c r="H97" s="134" t="str">
        <f>H83</f>
        <v>2eme E</v>
      </c>
      <c r="I97" s="134" t="str">
        <f>H86</f>
        <v>1er H</v>
      </c>
      <c r="J97" s="574"/>
      <c r="K97" s="575"/>
      <c r="L97" s="580"/>
      <c r="M97" s="32">
        <f>A97</f>
        <v>0.64583333333333315</v>
      </c>
      <c r="N97" s="33" t="str">
        <f>N83</f>
        <v>1er A</v>
      </c>
      <c r="O97" s="33" t="str">
        <f>N86</f>
        <v>2eme D</v>
      </c>
      <c r="P97" s="57"/>
      <c r="Q97" s="58"/>
      <c r="R97" s="577"/>
      <c r="S97" s="30">
        <f>G97</f>
        <v>0.66666666666666641</v>
      </c>
      <c r="T97" s="31" t="str">
        <f>T83</f>
        <v>1er E</v>
      </c>
      <c r="U97" s="31" t="str">
        <f>T86</f>
        <v>2eme H</v>
      </c>
      <c r="V97" s="53"/>
      <c r="W97" s="54"/>
    </row>
    <row r="98" spans="1:23" ht="15.75" customHeight="1" thickBot="1" x14ac:dyDescent="0.3">
      <c r="A98" s="44">
        <f>A97+$J$61+R5</f>
        <v>0.65624999999999978</v>
      </c>
      <c r="B98" s="45" t="str">
        <f>B84</f>
        <v>2eme B</v>
      </c>
      <c r="C98" s="45" t="str">
        <f>B85</f>
        <v>1er C</v>
      </c>
      <c r="D98" s="67"/>
      <c r="E98" s="68"/>
      <c r="F98" s="578"/>
      <c r="G98" s="42">
        <f>G97+$J$61+R5</f>
        <v>0.67708333333333304</v>
      </c>
      <c r="H98" s="43" t="str">
        <f>H84</f>
        <v>2eme F</v>
      </c>
      <c r="I98" s="43" t="str">
        <f>H85</f>
        <v>1er G</v>
      </c>
      <c r="J98" s="63"/>
      <c r="K98" s="64"/>
      <c r="L98" s="89"/>
      <c r="M98" s="40">
        <f>A98</f>
        <v>0.65624999999999978</v>
      </c>
      <c r="N98" s="41" t="str">
        <f>N84</f>
        <v>1er B</v>
      </c>
      <c r="O98" s="41" t="str">
        <f>N85</f>
        <v>2eme C</v>
      </c>
      <c r="P98" s="59"/>
      <c r="Q98" s="60"/>
      <c r="R98" s="578"/>
      <c r="S98" s="38">
        <f>G98</f>
        <v>0.67708333333333304</v>
      </c>
      <c r="T98" s="39" t="str">
        <f>T84</f>
        <v>1er F</v>
      </c>
      <c r="U98" s="39" t="str">
        <f>T85</f>
        <v>2eme G</v>
      </c>
      <c r="V98" s="55"/>
      <c r="W98" s="56"/>
    </row>
    <row r="99" spans="1:23" x14ac:dyDescent="0.25">
      <c r="A99" s="771" t="s">
        <v>339</v>
      </c>
      <c r="B99" s="771"/>
      <c r="C99" s="771"/>
      <c r="D99" s="771"/>
      <c r="E99" s="771"/>
      <c r="F99" s="771"/>
      <c r="G99" s="771"/>
      <c r="H99" s="771"/>
      <c r="I99" s="771"/>
      <c r="J99" s="771"/>
      <c r="K99" s="771"/>
      <c r="L99" s="771"/>
      <c r="M99" s="771"/>
      <c r="N99" s="771"/>
      <c r="O99" s="771"/>
      <c r="P99" s="771"/>
      <c r="Q99" s="771"/>
      <c r="R99" s="771"/>
      <c r="S99" s="771"/>
      <c r="T99" s="771"/>
      <c r="U99" s="771"/>
      <c r="V99" s="771"/>
      <c r="W99" s="771"/>
    </row>
    <row r="100" spans="1:23" hidden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6.5" hidden="1" thickBot="1" x14ac:dyDescent="0.3">
      <c r="A101" s="670" t="s">
        <v>49</v>
      </c>
      <c r="B101" s="671"/>
      <c r="C101" s="671"/>
      <c r="D101" s="671"/>
      <c r="E101" s="671"/>
      <c r="F101" s="671"/>
      <c r="G101" s="671"/>
      <c r="H101" s="671"/>
      <c r="I101" s="671"/>
      <c r="J101" s="671"/>
      <c r="K101" s="671"/>
      <c r="L101" s="671"/>
      <c r="M101" s="671"/>
      <c r="N101" s="671"/>
      <c r="O101" s="671"/>
      <c r="P101" s="671"/>
      <c r="Q101" s="671"/>
      <c r="R101" s="671"/>
      <c r="S101" s="671"/>
      <c r="T101" s="671"/>
      <c r="U101" s="671"/>
      <c r="V101" s="671"/>
      <c r="W101" s="672"/>
    </row>
    <row r="102" spans="1:23" hidden="1" x14ac:dyDescent="0.25">
      <c r="A102" s="96"/>
      <c r="B102" s="711" t="s">
        <v>1</v>
      </c>
      <c r="C102" s="711"/>
      <c r="D102" s="711" t="s">
        <v>15</v>
      </c>
      <c r="E102" s="772"/>
      <c r="F102" s="773"/>
      <c r="G102" s="121"/>
      <c r="H102" s="711" t="s">
        <v>2</v>
      </c>
      <c r="I102" s="711"/>
      <c r="J102" s="711" t="s">
        <v>15</v>
      </c>
      <c r="K102" s="772"/>
      <c r="L102" s="75"/>
      <c r="M102" s="121"/>
      <c r="N102" s="711" t="s">
        <v>3</v>
      </c>
      <c r="O102" s="711"/>
      <c r="P102" s="711" t="s">
        <v>15</v>
      </c>
      <c r="Q102" s="772"/>
      <c r="R102" s="122"/>
      <c r="S102" s="96"/>
      <c r="T102" s="711" t="s">
        <v>4</v>
      </c>
      <c r="U102" s="711"/>
      <c r="V102" s="711" t="s">
        <v>15</v>
      </c>
      <c r="W102" s="712"/>
    </row>
    <row r="103" spans="1:23" hidden="1" x14ac:dyDescent="0.25">
      <c r="A103" s="86">
        <f>RANK(D103,$D$103:$D$106)</f>
        <v>1</v>
      </c>
      <c r="B103" s="69" t="str">
        <f>B9</f>
        <v>Equipe 1</v>
      </c>
      <c r="C103" s="69">
        <f>D15-E15+D19-E19+D23-E23</f>
        <v>0</v>
      </c>
      <c r="D103" s="681">
        <f>D9+4/10000000</f>
        <v>3.9999999999999998E-7</v>
      </c>
      <c r="E103" s="767"/>
      <c r="F103" s="774"/>
      <c r="G103" s="91">
        <f>RANK(J103,$J$103:$J$106)</f>
        <v>1</v>
      </c>
      <c r="H103" s="69" t="str">
        <f>H9</f>
        <v>Equipe 5</v>
      </c>
      <c r="I103" s="69">
        <f>J15-K15+J19-K19+J23-K23</f>
        <v>0</v>
      </c>
      <c r="J103" s="681">
        <f>J9+4/10000000</f>
        <v>3.9999999999999998E-7</v>
      </c>
      <c r="K103" s="767"/>
      <c r="L103" s="76"/>
      <c r="M103" s="91">
        <f>RANK(P103,$P$103:$P$106)</f>
        <v>1</v>
      </c>
      <c r="N103" s="69" t="str">
        <f>N9</f>
        <v>Equipe 9</v>
      </c>
      <c r="O103" s="69">
        <f>P15-Q15+P19-Q19+P23-Q23</f>
        <v>0</v>
      </c>
      <c r="P103" s="681">
        <f>P9+4/10000000</f>
        <v>3.9999999999999998E-7</v>
      </c>
      <c r="Q103" s="767"/>
      <c r="R103" s="105"/>
      <c r="S103" s="86">
        <f>RANK(V103,$V$103:$V$106)</f>
        <v>1</v>
      </c>
      <c r="T103" s="69" t="str">
        <f>T9</f>
        <v>Equipe 13</v>
      </c>
      <c r="U103" s="69">
        <f>V15-W15+V19-W19+V23-W23</f>
        <v>0</v>
      </c>
      <c r="V103" s="681">
        <f>V9+4/10000000</f>
        <v>3.9999999999999998E-7</v>
      </c>
      <c r="W103" s="682"/>
    </row>
    <row r="104" spans="1:23" hidden="1" x14ac:dyDescent="0.25">
      <c r="A104" s="86">
        <f t="shared" ref="A104:A106" si="0">RANK(D104,$D$103:$D$106)</f>
        <v>2</v>
      </c>
      <c r="B104" s="69" t="str">
        <f>B10</f>
        <v>Equipe 2</v>
      </c>
      <c r="C104" s="69">
        <f>E15-D15+D20-E20+D24-E24</f>
        <v>0</v>
      </c>
      <c r="D104" s="681">
        <f>D10+3/10000000</f>
        <v>2.9999999999999999E-7</v>
      </c>
      <c r="E104" s="767"/>
      <c r="F104" s="774"/>
      <c r="G104" s="91">
        <f t="shared" ref="G104:G106" si="1">RANK(J104,$J$103:$J$106)</f>
        <v>2</v>
      </c>
      <c r="H104" s="69" t="str">
        <f>H10</f>
        <v>Equipe 6</v>
      </c>
      <c r="I104" s="69">
        <f>K15-J15+J20-K20+J24-K24</f>
        <v>0</v>
      </c>
      <c r="J104" s="681">
        <f>J10+3/10000000</f>
        <v>2.9999999999999999E-7</v>
      </c>
      <c r="K104" s="767"/>
      <c r="L104" s="76"/>
      <c r="M104" s="91">
        <f t="shared" ref="M104:M106" si="2">RANK(P104,$P$103:$P$106)</f>
        <v>2</v>
      </c>
      <c r="N104" s="69" t="str">
        <f>N10</f>
        <v>Equipe 10</v>
      </c>
      <c r="O104" s="69">
        <f>Q15-P15+P20-Q20+P24-Q24</f>
        <v>0</v>
      </c>
      <c r="P104" s="681">
        <f>P10+3/10000000</f>
        <v>2.9999999999999999E-7</v>
      </c>
      <c r="Q104" s="767"/>
      <c r="R104" s="105"/>
      <c r="S104" s="86">
        <f t="shared" ref="S104:S106" si="3">RANK(V104,$V$103:$V$106)</f>
        <v>2</v>
      </c>
      <c r="T104" s="69" t="str">
        <f>T10</f>
        <v>Equipe 14</v>
      </c>
      <c r="U104" s="69">
        <f>W15-V15+V20-W20+V24-W24</f>
        <v>0</v>
      </c>
      <c r="V104" s="681">
        <f>V10+3/10000000</f>
        <v>2.9999999999999999E-7</v>
      </c>
      <c r="W104" s="682"/>
    </row>
    <row r="105" spans="1:23" hidden="1" x14ac:dyDescent="0.25">
      <c r="A105" s="86">
        <f t="shared" si="0"/>
        <v>3</v>
      </c>
      <c r="B105" s="69" t="str">
        <f>B11</f>
        <v>Equipe 3</v>
      </c>
      <c r="C105" s="69">
        <f>D16-E16+E19-D19+E24-D24</f>
        <v>0</v>
      </c>
      <c r="D105" s="681">
        <f>D11+2/10000000</f>
        <v>1.9999999999999999E-7</v>
      </c>
      <c r="E105" s="767"/>
      <c r="F105" s="774"/>
      <c r="G105" s="91">
        <f t="shared" si="1"/>
        <v>3</v>
      </c>
      <c r="H105" s="69" t="str">
        <f>H11</f>
        <v>Equipe 7</v>
      </c>
      <c r="I105" s="69">
        <f>J16-K16+K19-J19+K24-J24</f>
        <v>0</v>
      </c>
      <c r="J105" s="681">
        <f>J11+2/10000000</f>
        <v>1.9999999999999999E-7</v>
      </c>
      <c r="K105" s="767"/>
      <c r="L105" s="76"/>
      <c r="M105" s="91">
        <f t="shared" si="2"/>
        <v>3</v>
      </c>
      <c r="N105" s="69" t="str">
        <f>N11</f>
        <v>Equipe 11</v>
      </c>
      <c r="O105" s="69">
        <f>P16-Q16+Q19-P19+Q24-P24</f>
        <v>0</v>
      </c>
      <c r="P105" s="681">
        <f>P11+2/10000000</f>
        <v>1.9999999999999999E-7</v>
      </c>
      <c r="Q105" s="767"/>
      <c r="R105" s="105"/>
      <c r="S105" s="86">
        <f t="shared" si="3"/>
        <v>3</v>
      </c>
      <c r="T105" s="69" t="str">
        <f>T11</f>
        <v>Equipe 15</v>
      </c>
      <c r="U105" s="69">
        <f>V16-W16+W19-V19+W24-V24</f>
        <v>0</v>
      </c>
      <c r="V105" s="681">
        <f>V11+2/10000000</f>
        <v>1.9999999999999999E-7</v>
      </c>
      <c r="W105" s="682"/>
    </row>
    <row r="106" spans="1:23" ht="15.75" hidden="1" thickBot="1" x14ac:dyDescent="0.3">
      <c r="A106" s="87">
        <f t="shared" si="0"/>
        <v>4</v>
      </c>
      <c r="B106" s="88" t="str">
        <f>B12</f>
        <v>Equipe 4</v>
      </c>
      <c r="C106" s="88">
        <f>E16-D16+E20-D20+E23-D23</f>
        <v>0</v>
      </c>
      <c r="D106" s="709">
        <f>D12+1/10000000</f>
        <v>9.9999999999999995E-8</v>
      </c>
      <c r="E106" s="761"/>
      <c r="F106" s="775"/>
      <c r="G106" s="92">
        <f t="shared" si="1"/>
        <v>4</v>
      </c>
      <c r="H106" s="88" t="str">
        <f>H12</f>
        <v>Equipe 8</v>
      </c>
      <c r="I106" s="88">
        <f>K16-J16+K20-J20+K23-J23</f>
        <v>0</v>
      </c>
      <c r="J106" s="709">
        <f>J12+1/10000000</f>
        <v>9.9999999999999995E-8</v>
      </c>
      <c r="K106" s="761"/>
      <c r="L106" s="78"/>
      <c r="M106" s="92">
        <f t="shared" si="2"/>
        <v>4</v>
      </c>
      <c r="N106" s="88" t="str">
        <f>N12</f>
        <v>Equipe 12</v>
      </c>
      <c r="O106" s="88">
        <f>Q16-P16+Q20-P20+Q23-P23</f>
        <v>0</v>
      </c>
      <c r="P106" s="709">
        <f>P12+1/10000000</f>
        <v>9.9999999999999995E-8</v>
      </c>
      <c r="Q106" s="761"/>
      <c r="R106" s="123"/>
      <c r="S106" s="87">
        <f t="shared" si="3"/>
        <v>4</v>
      </c>
      <c r="T106" s="88" t="str">
        <f>T12</f>
        <v>Equipe 16</v>
      </c>
      <c r="U106" s="88">
        <f>W16-V16+W20-V20+W23-V23</f>
        <v>0</v>
      </c>
      <c r="V106" s="709">
        <f>V12+1/10000000</f>
        <v>9.9999999999999995E-8</v>
      </c>
      <c r="W106" s="710"/>
    </row>
    <row r="107" spans="1:23" hidden="1" x14ac:dyDescent="0.25">
      <c r="A107" s="700"/>
      <c r="B107" s="700"/>
      <c r="C107" s="700"/>
      <c r="D107" s="700"/>
      <c r="E107" s="700"/>
      <c r="F107" s="700"/>
      <c r="G107" s="700"/>
      <c r="H107" s="700"/>
      <c r="I107" s="700"/>
      <c r="J107" s="700"/>
      <c r="K107" s="700"/>
      <c r="L107" s="700"/>
      <c r="M107" s="700"/>
      <c r="N107" s="700"/>
      <c r="O107" s="700"/>
      <c r="P107" s="700"/>
      <c r="Q107" s="700"/>
    </row>
    <row r="108" spans="1:23" hidden="1" x14ac:dyDescent="0.25">
      <c r="A108" s="1">
        <f>IF(D15="",0,(IF(D15&gt;E15,3,IF(D15=E15,1,0))))</f>
        <v>0</v>
      </c>
      <c r="B108" s="1">
        <f>IF(E15="",0,(IF(E15&gt;D15,3,IF(E15=D15,1,0))))</f>
        <v>0</v>
      </c>
      <c r="G108" s="1">
        <f>IF(J15="",0,(IF(J15&gt;K15,3,IF(J15=K15,1,0))))</f>
        <v>0</v>
      </c>
      <c r="H108" s="1">
        <f>IF(K15="",0,(IF(K15&gt;J15,3,IF(K15=J15,1,0))))</f>
        <v>0</v>
      </c>
      <c r="M108" s="1">
        <f>IF(P15="",0,(IF(P15&gt;Q15,3,IF(P15=Q15,1,0))))</f>
        <v>0</v>
      </c>
      <c r="N108" s="1">
        <f>IF(Q15="",0,(IF(Q15&gt;P15,3,IF(Q15=P15,1,0))))</f>
        <v>0</v>
      </c>
      <c r="S108" s="1">
        <f>IF(V15="",0,(IF(V15&gt;W15,3,IF(V15=W15,1,0))))</f>
        <v>0</v>
      </c>
      <c r="T108" s="1">
        <f>IF(W15="",0,(IF(W15&gt;V15,3,IF(W15=V15,1,0))))</f>
        <v>0</v>
      </c>
    </row>
    <row r="109" spans="1:23" hidden="1" x14ac:dyDescent="0.25">
      <c r="A109" s="1">
        <f>IF(D16="",0,(IF(D16&gt;E16,3,IF(D16=E16,1,0))))</f>
        <v>0</v>
      </c>
      <c r="B109" s="1">
        <f>IF(E16="",0,(IF(E16&gt;D16,3,IF(E16=D16,1,0))))</f>
        <v>0</v>
      </c>
      <c r="G109" s="1">
        <f>IF(J16="",0,(IF(J16&gt;K16,3,IF(J16=K16,1,0))))</f>
        <v>0</v>
      </c>
      <c r="H109" s="1">
        <f>IF(K16="",0,(IF(K16&gt;J16,3,IF(K16=J16,1,0))))</f>
        <v>0</v>
      </c>
      <c r="M109" s="1">
        <f>IF(P16="",0,(IF(P16&gt;Q16,3,IF(P16=Q16,1,0))))</f>
        <v>0</v>
      </c>
      <c r="N109" s="1">
        <f>IF(Q16="",0,(IF(Q16&gt;P16,3,IF(Q16=P16,1,0))))</f>
        <v>0</v>
      </c>
      <c r="S109" s="1">
        <f>IF(V16="",0,(IF(V16&gt;W16,3,IF(V16=W16,1,0))))</f>
        <v>0</v>
      </c>
      <c r="T109" s="1">
        <f>IF(W16="",0,(IF(W16&gt;V16,3,IF(W16=V16,1,0))))</f>
        <v>0</v>
      </c>
    </row>
    <row r="110" spans="1:23" hidden="1" x14ac:dyDescent="0.25"/>
    <row r="111" spans="1:23" hidden="1" x14ac:dyDescent="0.25"/>
    <row r="112" spans="1:23" hidden="1" x14ac:dyDescent="0.25">
      <c r="A112" s="1">
        <f>IF(D19="",0,(IF(D19&gt;E19,3,IF(D19=E19,1,0))))</f>
        <v>0</v>
      </c>
      <c r="B112" s="1">
        <f>IF(E19="",0,(IF(E19&gt;D19,3,IF(E19=D19,1,0))))</f>
        <v>0</v>
      </c>
      <c r="G112" s="1">
        <f>IF(J19="",0,(IF(J19&gt;K19,3,IF(J19=K19,1,0))))</f>
        <v>0</v>
      </c>
      <c r="H112" s="1">
        <f>IF(K19="",0,(IF(K19&gt;J19,3,IF(K19=J19,1,0))))</f>
        <v>0</v>
      </c>
      <c r="M112" s="1">
        <f>IF(P19="",0,(IF(P19&gt;Q19,3,IF(P19=Q19,1,0))))</f>
        <v>0</v>
      </c>
      <c r="N112" s="1">
        <f>IF(Q19="",0,(IF(Q19&gt;P19,3,IF(Q19=P19,1,0))))</f>
        <v>0</v>
      </c>
      <c r="S112" s="1">
        <f>IF(V19="",0,(IF(V19&gt;W19,3,IF(V19=W19,1,0))))</f>
        <v>0</v>
      </c>
      <c r="T112" s="1">
        <f>IF(W19="",0,(IF(W19&gt;V19,3,IF(W19=V19,1,0))))</f>
        <v>0</v>
      </c>
    </row>
    <row r="113" spans="1:23" hidden="1" x14ac:dyDescent="0.25">
      <c r="A113" s="1">
        <f>IF(D20="",0,(IF(D20&gt;E20,3,IF(D20=E20,1,0))))</f>
        <v>0</v>
      </c>
      <c r="B113" s="1">
        <f>IF(E20="",0,(IF(E20&gt;D20,3,IF(E20=D20,1,0))))</f>
        <v>0</v>
      </c>
      <c r="G113" s="1">
        <f>IF(J20="",0,(IF(J20&gt;K20,3,IF(J20=K20,1,0))))</f>
        <v>0</v>
      </c>
      <c r="H113" s="1">
        <f>IF(K20="",0,(IF(K20&gt;J20,3,IF(K20=J20,1,0))))</f>
        <v>0</v>
      </c>
      <c r="M113" s="1">
        <f>IF(P20="",0,(IF(P20&gt;Q20,3,IF(P20=Q20,1,0))))</f>
        <v>0</v>
      </c>
      <c r="N113" s="1">
        <f>IF(Q20="",0,(IF(Q20&gt;P20,3,IF(Q20=P20,1,0))))</f>
        <v>0</v>
      </c>
      <c r="S113" s="1">
        <f>IF(V20="",0,(IF(V20&gt;W20,3,IF(V20=W20,1,0))))</f>
        <v>0</v>
      </c>
      <c r="T113" s="1">
        <f>IF(W20="",0,(IF(W20&gt;V20,3,IF(W20=V20,1,0))))</f>
        <v>0</v>
      </c>
    </row>
    <row r="114" spans="1:23" hidden="1" x14ac:dyDescent="0.25"/>
    <row r="115" spans="1:23" hidden="1" x14ac:dyDescent="0.25"/>
    <row r="116" spans="1:23" hidden="1" x14ac:dyDescent="0.25">
      <c r="A116" s="1">
        <f>IF(D23="",0,(IF(D23&gt;E23,3,IF(D23=E23,1,0))))</f>
        <v>0</v>
      </c>
      <c r="B116" s="1">
        <f>IF(E23="",0,(IF(E23&gt;D23,3,IF(E23=D23,1,0))))</f>
        <v>0</v>
      </c>
      <c r="G116" s="1">
        <f>IF(J23="",0,(IF(J23&gt;K23,3,IF(J23=K23,1,0))))</f>
        <v>0</v>
      </c>
      <c r="H116" s="1">
        <f>IF(K23="",0,(IF(K23&gt;J23,3,IF(K23=J23,1,0))))</f>
        <v>0</v>
      </c>
      <c r="M116" s="1">
        <f>IF(P23="",0,(IF(P23&gt;Q23,3,IF(P23=Q23,1,0))))</f>
        <v>0</v>
      </c>
      <c r="N116" s="1">
        <f>IF(Q23="",0,(IF(Q23&gt;P23,3,IF(Q23=P23,1,0))))</f>
        <v>0</v>
      </c>
      <c r="S116" s="1">
        <f>IF(V23="",0,(IF(V23&gt;W23,3,IF(V23=W23,1,0))))</f>
        <v>0</v>
      </c>
      <c r="T116" s="1">
        <f>IF(W23="",0,(IF(W23&gt;V23,3,IF(W23=V23,1,0))))</f>
        <v>0</v>
      </c>
    </row>
    <row r="117" spans="1:23" hidden="1" x14ac:dyDescent="0.25">
      <c r="A117" s="1">
        <f>IF(D24="",0,(IF(D24&gt;E24,3,IF(D24=E24,1,0))))</f>
        <v>0</v>
      </c>
      <c r="B117" s="1">
        <f>IF(E24="",0,(IF(E24&gt;D24,3,IF(E24=D24,1,0))))</f>
        <v>0</v>
      </c>
      <c r="G117" s="1">
        <f>IF(J24="",0,(IF(J24&gt;K24,3,IF(J24=K24,1,0))))</f>
        <v>0</v>
      </c>
      <c r="H117" s="1">
        <f>IF(K24="",0,(IF(K24&gt;J24,3,IF(K24=J24,1,0))))</f>
        <v>0</v>
      </c>
      <c r="M117" s="1">
        <f>IF(P24="",0,(IF(P24&gt;Q24,3,IF(P24=Q24,1,0))))</f>
        <v>0</v>
      </c>
      <c r="N117" s="1">
        <f>IF(Q24="",0,(IF(Q24&gt;P24,3,IF(Q24=P24,1,0))))</f>
        <v>0</v>
      </c>
      <c r="S117" s="1">
        <f>IF(V24="",0,(IF(V24&gt;W24,3,IF(V24=W24,1,0))))</f>
        <v>0</v>
      </c>
      <c r="T117" s="1">
        <f>IF(W24="",0,(IF(W24&gt;V24,3,IF(W24=V24,1,0))))</f>
        <v>0</v>
      </c>
    </row>
    <row r="118" spans="1:23" hidden="1" x14ac:dyDescent="0.25"/>
    <row r="119" spans="1:23" hidden="1" x14ac:dyDescent="0.25">
      <c r="A119" s="700"/>
      <c r="B119" s="700"/>
      <c r="C119" s="700"/>
      <c r="D119" s="700"/>
      <c r="E119" s="700"/>
      <c r="F119" s="700"/>
      <c r="G119" s="700"/>
      <c r="H119" s="700"/>
      <c r="I119" s="700"/>
      <c r="J119" s="700"/>
      <c r="K119" s="700"/>
      <c r="L119" s="700"/>
      <c r="M119" s="700"/>
      <c r="N119" s="700"/>
      <c r="O119" s="700"/>
      <c r="P119" s="700"/>
      <c r="Q119" s="700"/>
    </row>
    <row r="120" spans="1:23" hidden="1" x14ac:dyDescent="0.25"/>
    <row r="121" spans="1:23" hidden="1" x14ac:dyDescent="0.25"/>
    <row r="122" spans="1:23" hidden="1" x14ac:dyDescent="0.25"/>
    <row r="123" spans="1:23" hidden="1" x14ac:dyDescent="0.25"/>
    <row r="124" spans="1:23" hidden="1" x14ac:dyDescent="0.25"/>
    <row r="125" spans="1:23" hidden="1" x14ac:dyDescent="0.25"/>
    <row r="126" spans="1:23" hidden="1" x14ac:dyDescent="0.25"/>
    <row r="127" spans="1:23" ht="16.5" hidden="1" thickBot="1" x14ac:dyDescent="0.3">
      <c r="A127" s="670" t="s">
        <v>49</v>
      </c>
      <c r="B127" s="671"/>
      <c r="C127" s="671"/>
      <c r="D127" s="671"/>
      <c r="E127" s="671"/>
      <c r="F127" s="671"/>
      <c r="G127" s="671"/>
      <c r="H127" s="671"/>
      <c r="I127" s="671"/>
      <c r="J127" s="671"/>
      <c r="K127" s="671"/>
      <c r="L127" s="671"/>
      <c r="M127" s="671"/>
      <c r="N127" s="671"/>
      <c r="O127" s="671"/>
      <c r="P127" s="671"/>
      <c r="Q127" s="671"/>
      <c r="R127" s="671"/>
      <c r="S127" s="671"/>
      <c r="T127" s="671"/>
      <c r="U127" s="671"/>
      <c r="V127" s="671"/>
      <c r="W127" s="672"/>
    </row>
    <row r="128" spans="1:23" hidden="1" x14ac:dyDescent="0.25">
      <c r="A128" s="96"/>
      <c r="B128" s="711" t="s">
        <v>256</v>
      </c>
      <c r="C128" s="711"/>
      <c r="D128" s="711" t="s">
        <v>15</v>
      </c>
      <c r="E128" s="772"/>
      <c r="F128" s="773"/>
      <c r="G128" s="121"/>
      <c r="H128" s="711" t="s">
        <v>257</v>
      </c>
      <c r="I128" s="711"/>
      <c r="J128" s="711" t="s">
        <v>15</v>
      </c>
      <c r="K128" s="772"/>
      <c r="L128" s="75"/>
      <c r="M128" s="121"/>
      <c r="N128" s="711" t="s">
        <v>303</v>
      </c>
      <c r="O128" s="711"/>
      <c r="P128" s="711" t="s">
        <v>15</v>
      </c>
      <c r="Q128" s="772"/>
      <c r="R128" s="122"/>
      <c r="S128" s="96"/>
      <c r="T128" s="711" t="s">
        <v>304</v>
      </c>
      <c r="U128" s="711"/>
      <c r="V128" s="711" t="s">
        <v>15</v>
      </c>
      <c r="W128" s="712"/>
    </row>
    <row r="129" spans="1:23" hidden="1" x14ac:dyDescent="0.25">
      <c r="A129" s="86">
        <f>RANK(D129,$D$129:$E$132)</f>
        <v>1</v>
      </c>
      <c r="B129" s="69" t="str">
        <f>B35</f>
        <v>Equipe 17</v>
      </c>
      <c r="C129" s="69">
        <f>D41-E41+D45-E45+D49-E49</f>
        <v>0</v>
      </c>
      <c r="D129" s="681">
        <f>D35+4/10000000</f>
        <v>3.9999999999999998E-7</v>
      </c>
      <c r="E129" s="767"/>
      <c r="F129" s="774"/>
      <c r="G129" s="91">
        <f>RANK(J129,$J$129:$J$132)</f>
        <v>1</v>
      </c>
      <c r="H129" s="69" t="str">
        <f>H35</f>
        <v>Equipe 21</v>
      </c>
      <c r="I129" s="69">
        <f>J41-K41+J45-K45+J49-K49</f>
        <v>0</v>
      </c>
      <c r="J129" s="681">
        <f>J35+4/10000000</f>
        <v>3.9999999999999998E-7</v>
      </c>
      <c r="K129" s="767"/>
      <c r="L129" s="76"/>
      <c r="M129" s="91">
        <f>RANK(P129,$P$129:$P$132)</f>
        <v>1</v>
      </c>
      <c r="N129" s="69" t="str">
        <f>N35</f>
        <v>Equipe 25</v>
      </c>
      <c r="O129" s="69">
        <f>P41-Q41+P45-Q45+P49-Q49</f>
        <v>0</v>
      </c>
      <c r="P129" s="681">
        <f>P35+4/10000000</f>
        <v>3.9999999999999998E-7</v>
      </c>
      <c r="Q129" s="767"/>
      <c r="R129" s="105"/>
      <c r="S129" s="86">
        <f>RANK(V129,$V$129:$V$132)</f>
        <v>1</v>
      </c>
      <c r="T129" s="69" t="str">
        <f>T35</f>
        <v>Equipe 29</v>
      </c>
      <c r="U129" s="69">
        <f>V41-W41+V45-W45+V49-W49</f>
        <v>0</v>
      </c>
      <c r="V129" s="681">
        <f>V35+4/10000000</f>
        <v>3.9999999999999998E-7</v>
      </c>
      <c r="W129" s="682"/>
    </row>
    <row r="130" spans="1:23" hidden="1" x14ac:dyDescent="0.25">
      <c r="A130" s="86">
        <f t="shared" ref="A130:A132" si="4">RANK(D130,$D$129:$E$132)</f>
        <v>2</v>
      </c>
      <c r="B130" s="69" t="str">
        <f>B36</f>
        <v>Equipe 18</v>
      </c>
      <c r="C130" s="69">
        <f>E41-D41+D46-E46+D50-E50</f>
        <v>0</v>
      </c>
      <c r="D130" s="681">
        <f>D36+3/10000000</f>
        <v>2.9999999999999999E-7</v>
      </c>
      <c r="E130" s="767"/>
      <c r="F130" s="774"/>
      <c r="G130" s="91">
        <f t="shared" ref="G130:G132" si="5">RANK(J130,$J$129:$J$132)</f>
        <v>2</v>
      </c>
      <c r="H130" s="69" t="str">
        <f>H36</f>
        <v>Equipe 22</v>
      </c>
      <c r="I130" s="69">
        <f>K41-J41+J46-K46+J50-K50</f>
        <v>0</v>
      </c>
      <c r="J130" s="681">
        <f>J36+3/10000000</f>
        <v>2.9999999999999999E-7</v>
      </c>
      <c r="K130" s="767"/>
      <c r="L130" s="76"/>
      <c r="M130" s="91">
        <f t="shared" ref="M130:M132" si="6">RANK(P130,$P$129:$P$132)</f>
        <v>2</v>
      </c>
      <c r="N130" s="69" t="str">
        <f>N36</f>
        <v>Equipe 26</v>
      </c>
      <c r="O130" s="69">
        <f>Q41-P41+P46-Q46+P50-Q50</f>
        <v>0</v>
      </c>
      <c r="P130" s="681">
        <f>P36+3/10000000</f>
        <v>2.9999999999999999E-7</v>
      </c>
      <c r="Q130" s="767"/>
      <c r="R130" s="105"/>
      <c r="S130" s="86">
        <f t="shared" ref="S130:S132" si="7">RANK(V130,$V$129:$V$132)</f>
        <v>2</v>
      </c>
      <c r="T130" s="69" t="str">
        <f>T36</f>
        <v>Equipe 30</v>
      </c>
      <c r="U130" s="69">
        <f>W41-V41+V46-W46+V50-W50</f>
        <v>0</v>
      </c>
      <c r="V130" s="681">
        <f>V36+3/10000000</f>
        <v>2.9999999999999999E-7</v>
      </c>
      <c r="W130" s="682"/>
    </row>
    <row r="131" spans="1:23" hidden="1" x14ac:dyDescent="0.25">
      <c r="A131" s="86">
        <f t="shared" si="4"/>
        <v>3</v>
      </c>
      <c r="B131" s="69" t="str">
        <f>B37</f>
        <v>Equipe 19</v>
      </c>
      <c r="C131" s="69">
        <f>D42-E42+E45-D45+E50-D50</f>
        <v>0</v>
      </c>
      <c r="D131" s="681">
        <f>D37+2/10000000</f>
        <v>1.9999999999999999E-7</v>
      </c>
      <c r="E131" s="767"/>
      <c r="F131" s="774"/>
      <c r="G131" s="91">
        <f t="shared" si="5"/>
        <v>3</v>
      </c>
      <c r="H131" s="69" t="str">
        <f>H37</f>
        <v>Equipe 23</v>
      </c>
      <c r="I131" s="69">
        <f>J42-K42+K45-J45+K50-J50</f>
        <v>0</v>
      </c>
      <c r="J131" s="681">
        <f>J37+2/10000000</f>
        <v>1.9999999999999999E-7</v>
      </c>
      <c r="K131" s="767"/>
      <c r="L131" s="76"/>
      <c r="M131" s="91">
        <f t="shared" si="6"/>
        <v>3</v>
      </c>
      <c r="N131" s="69" t="str">
        <f>N37</f>
        <v>Equipe 27</v>
      </c>
      <c r="O131" s="69">
        <f>P42-Q42+Q45-P45+Q50-P50</f>
        <v>0</v>
      </c>
      <c r="P131" s="681">
        <f>P37+2/10000000</f>
        <v>1.9999999999999999E-7</v>
      </c>
      <c r="Q131" s="767"/>
      <c r="R131" s="105"/>
      <c r="S131" s="86">
        <f t="shared" si="7"/>
        <v>3</v>
      </c>
      <c r="T131" s="69" t="str">
        <f>T37</f>
        <v>Equipe 31</v>
      </c>
      <c r="U131" s="69">
        <f>V42-W42+W45-V45+W50-V50</f>
        <v>0</v>
      </c>
      <c r="V131" s="681">
        <f>V37+2/10000000</f>
        <v>1.9999999999999999E-7</v>
      </c>
      <c r="W131" s="682"/>
    </row>
    <row r="132" spans="1:23" ht="15.75" hidden="1" thickBot="1" x14ac:dyDescent="0.3">
      <c r="A132" s="86">
        <f t="shared" si="4"/>
        <v>4</v>
      </c>
      <c r="B132" s="88" t="str">
        <f>B38</f>
        <v>Equipe 20</v>
      </c>
      <c r="C132" s="88">
        <f>E42-D42+E46-D46+E49-D49</f>
        <v>0</v>
      </c>
      <c r="D132" s="709">
        <f>D38+1/10000000</f>
        <v>9.9999999999999995E-8</v>
      </c>
      <c r="E132" s="761"/>
      <c r="F132" s="775"/>
      <c r="G132" s="91">
        <f t="shared" si="5"/>
        <v>4</v>
      </c>
      <c r="H132" s="88" t="str">
        <f>H38</f>
        <v>Equipe 24</v>
      </c>
      <c r="I132" s="88">
        <f>K42-J42+K46-J46+K49-J49</f>
        <v>0</v>
      </c>
      <c r="J132" s="709">
        <f>J38+1/10000000</f>
        <v>9.9999999999999995E-8</v>
      </c>
      <c r="K132" s="761"/>
      <c r="L132" s="78"/>
      <c r="M132" s="91">
        <f t="shared" si="6"/>
        <v>4</v>
      </c>
      <c r="N132" s="88" t="str">
        <f>N38</f>
        <v>Equipe 28</v>
      </c>
      <c r="O132" s="88">
        <f>Q42-P42+Q46-P46+Q49-P49</f>
        <v>0</v>
      </c>
      <c r="P132" s="709">
        <f>P38+1/10000000</f>
        <v>9.9999999999999995E-8</v>
      </c>
      <c r="Q132" s="761"/>
      <c r="R132" s="123"/>
      <c r="S132" s="86">
        <f t="shared" si="7"/>
        <v>4</v>
      </c>
      <c r="T132" s="88" t="str">
        <f>T38</f>
        <v>Equipe 32</v>
      </c>
      <c r="U132" s="88">
        <f>W42-V42+W46-V46+W49-V49</f>
        <v>0</v>
      </c>
      <c r="V132" s="709">
        <f>V38+1/10000000</f>
        <v>9.9999999999999995E-8</v>
      </c>
      <c r="W132" s="710"/>
    </row>
    <row r="133" spans="1:23" hidden="1" x14ac:dyDescent="0.25">
      <c r="A133" s="700"/>
      <c r="B133" s="700"/>
      <c r="C133" s="700"/>
      <c r="D133" s="700"/>
      <c r="E133" s="700"/>
      <c r="F133" s="700"/>
      <c r="G133" s="700"/>
      <c r="H133" s="700"/>
      <c r="I133" s="700"/>
      <c r="J133" s="700"/>
      <c r="K133" s="700"/>
      <c r="L133" s="700"/>
      <c r="M133" s="700"/>
      <c r="N133" s="700"/>
      <c r="O133" s="700"/>
      <c r="P133" s="700"/>
      <c r="Q133" s="700"/>
    </row>
    <row r="134" spans="1:23" hidden="1" x14ac:dyDescent="0.25">
      <c r="A134" s="1">
        <f>IF(D41="",0,(IF(D41&gt;E41,3,IF(D41=E41,1,0))))</f>
        <v>0</v>
      </c>
      <c r="B134" s="1">
        <f>IF(E41="",0,(IF(E41&gt;D41,3,IF(E41=D41,1,0))))</f>
        <v>0</v>
      </c>
      <c r="G134" s="1">
        <f>IF(J41="",0,(IF(J41&gt;K41,3,IF(J41=K41,1,0))))</f>
        <v>0</v>
      </c>
      <c r="H134" s="1">
        <f>IF(K41="",0,(IF(K41&gt;J41,3,IF(K41=J41,1,0))))</f>
        <v>0</v>
      </c>
      <c r="M134" s="1">
        <f>IF(P41="",0,(IF(P41&gt;Q41,3,IF(P41=Q41,1,0))))</f>
        <v>0</v>
      </c>
      <c r="N134" s="1">
        <f>IF(Q41="",0,(IF(Q41&gt;P41,3,IF(Q41=P41,1,0))))</f>
        <v>0</v>
      </c>
      <c r="S134" s="1">
        <f>IF(V41="",0,(IF(V41&gt;W41,3,IF(V41=W41,1,0))))</f>
        <v>0</v>
      </c>
      <c r="T134" s="1">
        <f>IF(W41="",0,(IF(W41&gt;V41,3,IF(W41=V41,1,0))))</f>
        <v>0</v>
      </c>
    </row>
    <row r="135" spans="1:23" hidden="1" x14ac:dyDescent="0.25">
      <c r="A135" s="1">
        <f>IF(D42="",0,(IF(D42&gt;E42,3,IF(D42=E42,1,0))))</f>
        <v>0</v>
      </c>
      <c r="B135" s="1">
        <f>IF(E42="",0,(IF(E42&gt;D42,3,IF(E42=D42,1,0))))</f>
        <v>0</v>
      </c>
      <c r="G135" s="1">
        <f>IF(J42="",0,(IF(J42&gt;K42,3,IF(J42=K42,1,0))))</f>
        <v>0</v>
      </c>
      <c r="H135" s="1">
        <f>IF(K42="",0,(IF(K42&gt;J42,3,IF(K42=J42,1,0))))</f>
        <v>0</v>
      </c>
      <c r="M135" s="1">
        <f>IF(P42="",0,(IF(P42&gt;Q42,3,IF(P42=Q42,1,0))))</f>
        <v>0</v>
      </c>
      <c r="N135" s="1">
        <f>IF(Q42="",0,(IF(Q42&gt;P42,3,IF(Q42=P42,1,0))))</f>
        <v>0</v>
      </c>
      <c r="S135" s="1">
        <f>IF(V42="",0,(IF(V42&gt;W42,3,IF(V42=W42,1,0))))</f>
        <v>0</v>
      </c>
      <c r="T135" s="1">
        <f>IF(W42="",0,(IF(W42&gt;V42,3,IF(W42=V42,1,0))))</f>
        <v>0</v>
      </c>
    </row>
    <row r="136" spans="1:23" hidden="1" x14ac:dyDescent="0.25"/>
    <row r="137" spans="1:23" hidden="1" x14ac:dyDescent="0.25"/>
    <row r="138" spans="1:23" hidden="1" x14ac:dyDescent="0.25">
      <c r="A138" s="1">
        <f>IF(D45="",0,(IF(D45&gt;E45,3,IF(D45=E45,1,0))))</f>
        <v>0</v>
      </c>
      <c r="B138" s="1">
        <f>IF(E45="",0,(IF(E45&gt;D45,3,IF(E45=D45,1,0))))</f>
        <v>0</v>
      </c>
      <c r="G138" s="1">
        <f>IF(J45="",0,(IF(J45&gt;K45,3,IF(J45=K45,1,0))))</f>
        <v>0</v>
      </c>
      <c r="H138" s="1">
        <f>IF(K45="",0,(IF(K45&gt;J45,3,IF(K45=J45,1,0))))</f>
        <v>0</v>
      </c>
      <c r="M138" s="1">
        <f>IF(P45="",0,(IF(P45&gt;Q45,3,IF(P45=Q45,1,0))))</f>
        <v>0</v>
      </c>
      <c r="N138" s="1">
        <f>IF(Q45="",0,(IF(Q45&gt;P45,3,IF(Q45=P45,1,0))))</f>
        <v>0</v>
      </c>
      <c r="S138" s="1">
        <f>IF(V45="",0,(IF(V45&gt;W45,3,IF(V45=W45,1,0))))</f>
        <v>0</v>
      </c>
      <c r="T138" s="1">
        <f>IF(W45="",0,(IF(W45&gt;V45,3,IF(W45=V45,1,0))))</f>
        <v>0</v>
      </c>
    </row>
    <row r="139" spans="1:23" hidden="1" x14ac:dyDescent="0.25">
      <c r="A139" s="1">
        <f>IF(D46="",0,(IF(D46&gt;E46,3,IF(D46=E46,1,0))))</f>
        <v>0</v>
      </c>
      <c r="B139" s="1">
        <f>IF(E46="",0,(IF(E46&gt;D46,3,IF(E46=D46,1,0))))</f>
        <v>0</v>
      </c>
      <c r="G139" s="1">
        <f>IF(J46="",0,(IF(J46&gt;K46,3,IF(J46=K46,1,0))))</f>
        <v>0</v>
      </c>
      <c r="H139" s="1">
        <f>IF(K46="",0,(IF(K46&gt;J46,3,IF(K46=J46,1,0))))</f>
        <v>0</v>
      </c>
      <c r="M139" s="1">
        <f>IF(P46="",0,(IF(P46&gt;Q46,3,IF(P46=Q46,1,0))))</f>
        <v>0</v>
      </c>
      <c r="N139" s="1">
        <f>IF(Q46="",0,(IF(Q46&gt;P46,3,IF(Q46=P46,1,0))))</f>
        <v>0</v>
      </c>
      <c r="S139" s="1">
        <f>IF(V46="",0,(IF(V46&gt;W46,3,IF(V46=W46,1,0))))</f>
        <v>0</v>
      </c>
      <c r="T139" s="1">
        <f>IF(W46="",0,(IF(W46&gt;V46,3,IF(W46=V46,1,0))))</f>
        <v>0</v>
      </c>
    </row>
    <row r="140" spans="1:23" hidden="1" x14ac:dyDescent="0.25"/>
    <row r="141" spans="1:23" hidden="1" x14ac:dyDescent="0.25"/>
    <row r="142" spans="1:23" hidden="1" x14ac:dyDescent="0.25">
      <c r="A142" s="1">
        <f>IF(D49="",0,(IF(D49&gt;E49,3,IF(D49=E49,1,0))))</f>
        <v>0</v>
      </c>
      <c r="B142" s="1">
        <f>IF(E49="",0,(IF(E49&gt;D49,3,IF(E49=D49,1,0))))</f>
        <v>0</v>
      </c>
      <c r="G142" s="1">
        <f>IF(J49="",0,(IF(J49&gt;K49,3,IF(J49=K49,1,0))))</f>
        <v>0</v>
      </c>
      <c r="H142" s="1">
        <f>IF(K49="",0,(IF(K49&gt;J49,3,IF(K49=J49,1,0))))</f>
        <v>0</v>
      </c>
      <c r="M142" s="1">
        <f>IF(P49="",0,(IF(P49&gt;Q49,3,IF(P49=Q49,1,0))))</f>
        <v>0</v>
      </c>
      <c r="N142" s="1">
        <f>IF(Q49="",0,(IF(Q49&gt;P49,3,IF(Q49=P49,1,0))))</f>
        <v>0</v>
      </c>
      <c r="S142" s="1">
        <f>IF(V49="",0,(IF(V49&gt;W49,3,IF(V49=W49,1,0))))</f>
        <v>0</v>
      </c>
      <c r="T142" s="1">
        <f>IF(W49="",0,(IF(W49&gt;V49,3,IF(W49=V49,1,0))))</f>
        <v>0</v>
      </c>
    </row>
    <row r="143" spans="1:23" hidden="1" x14ac:dyDescent="0.25">
      <c r="A143" s="1">
        <f>IF(D50="",0,(IF(D50&gt;E50,3,IF(D50=E50,1,0))))</f>
        <v>0</v>
      </c>
      <c r="B143" s="1">
        <f>IF(E50="",0,(IF(E50&gt;D50,3,IF(E50=D50,1,0))))</f>
        <v>0</v>
      </c>
      <c r="G143" s="1">
        <f>IF(J50="",0,(IF(J50&gt;K50,3,IF(J50=K50,1,0))))</f>
        <v>0</v>
      </c>
      <c r="H143" s="1">
        <f>IF(K50="",0,(IF(K50&gt;J50,3,IF(K50=J50,1,0))))</f>
        <v>0</v>
      </c>
      <c r="M143" s="1">
        <f>IF(P50="",0,(IF(P50&gt;Q50,3,IF(P50=Q50,1,0))))</f>
        <v>0</v>
      </c>
      <c r="N143" s="1">
        <f>IF(Q50="",0,(IF(Q50&gt;P50,3,IF(Q50=P50,1,0))))</f>
        <v>0</v>
      </c>
      <c r="S143" s="1">
        <f>IF(V50="",0,(IF(V50&gt;W50,3,IF(V50=W50,1,0))))</f>
        <v>0</v>
      </c>
      <c r="T143" s="1">
        <f>IF(W50="",0,(IF(W50&gt;V50,3,IF(W50=V50,1,0))))</f>
        <v>0</v>
      </c>
    </row>
    <row r="144" spans="1:23" hidden="1" x14ac:dyDescent="0.25"/>
    <row r="145" spans="1:23" hidden="1" x14ac:dyDescent="0.25"/>
    <row r="146" spans="1:23" hidden="1" x14ac:dyDescent="0.25"/>
    <row r="147" spans="1:23" hidden="1" x14ac:dyDescent="0.25"/>
    <row r="148" spans="1:23" hidden="1" x14ac:dyDescent="0.25"/>
    <row r="149" spans="1:23" hidden="1" x14ac:dyDescent="0.25"/>
    <row r="150" spans="1:23" hidden="1" x14ac:dyDescent="0.25"/>
    <row r="151" spans="1:23" hidden="1" x14ac:dyDescent="0.25"/>
    <row r="152" spans="1:23" hidden="1" x14ac:dyDescent="0.25"/>
    <row r="153" spans="1:23" hidden="1" x14ac:dyDescent="0.25"/>
    <row r="154" spans="1:23" hidden="1" x14ac:dyDescent="0.25"/>
    <row r="155" spans="1:23" hidden="1" x14ac:dyDescent="0.25"/>
    <row r="156" spans="1:23" ht="16.5" hidden="1" thickBot="1" x14ac:dyDescent="0.3">
      <c r="A156" s="670" t="s">
        <v>305</v>
      </c>
      <c r="B156" s="671"/>
      <c r="C156" s="671"/>
      <c r="D156" s="671"/>
      <c r="E156" s="671"/>
      <c r="F156" s="671"/>
      <c r="G156" s="671"/>
      <c r="H156" s="671"/>
      <c r="I156" s="671"/>
      <c r="J156" s="671"/>
      <c r="K156" s="671"/>
      <c r="L156" s="671"/>
      <c r="M156" s="671"/>
      <c r="N156" s="671"/>
      <c r="O156" s="671"/>
      <c r="P156" s="671"/>
      <c r="Q156" s="671"/>
      <c r="R156" s="671"/>
      <c r="S156" s="671"/>
      <c r="T156" s="671"/>
      <c r="U156" s="671"/>
      <c r="V156" s="671"/>
      <c r="W156" s="672"/>
    </row>
    <row r="157" spans="1:23" hidden="1" x14ac:dyDescent="0.25">
      <c r="A157" s="96"/>
      <c r="B157" s="711" t="s">
        <v>1</v>
      </c>
      <c r="C157" s="711"/>
      <c r="D157" s="711" t="s">
        <v>15</v>
      </c>
      <c r="E157" s="772"/>
      <c r="F157" s="773"/>
      <c r="G157" s="121"/>
      <c r="H157" s="711" t="s">
        <v>2</v>
      </c>
      <c r="I157" s="711"/>
      <c r="J157" s="711" t="s">
        <v>15</v>
      </c>
      <c r="K157" s="772"/>
      <c r="L157" s="75"/>
      <c r="M157" s="121"/>
      <c r="N157" s="711" t="s">
        <v>3</v>
      </c>
      <c r="O157" s="711"/>
      <c r="P157" s="711" t="s">
        <v>15</v>
      </c>
      <c r="Q157" s="772"/>
      <c r="R157" s="122"/>
      <c r="S157" s="96"/>
      <c r="T157" s="711" t="s">
        <v>4</v>
      </c>
      <c r="U157" s="711"/>
      <c r="V157" s="711" t="s">
        <v>15</v>
      </c>
      <c r="W157" s="712"/>
    </row>
    <row r="158" spans="1:23" hidden="1" x14ac:dyDescent="0.25">
      <c r="A158" s="86">
        <f>RANK(D158,$D$158:$E$161)</f>
        <v>1</v>
      </c>
      <c r="B158" s="69" t="str">
        <f>B64</f>
        <v>4eme A</v>
      </c>
      <c r="C158" s="69">
        <f>D70-E70+D74-E74+D78-E78</f>
        <v>0</v>
      </c>
      <c r="D158" s="681">
        <f>D64+4/10000000</f>
        <v>3.9999999999999998E-7</v>
      </c>
      <c r="E158" s="767"/>
      <c r="F158" s="774"/>
      <c r="G158" s="91">
        <f>RANK(J158,$J$158:$J$161)</f>
        <v>1</v>
      </c>
      <c r="H158" s="69" t="str">
        <f>H64</f>
        <v>4eme E</v>
      </c>
      <c r="I158" s="69">
        <f>J70-K70+J74-K74+J78-K78</f>
        <v>0</v>
      </c>
      <c r="J158" s="681">
        <f>J64+4/10000000</f>
        <v>3.9999999999999998E-7</v>
      </c>
      <c r="K158" s="767"/>
      <c r="L158" s="76"/>
      <c r="M158" s="91">
        <f>RANK(P158,$P$158:$P$161)</f>
        <v>1</v>
      </c>
      <c r="N158" s="69" t="str">
        <f>N64</f>
        <v>3eme A</v>
      </c>
      <c r="O158" s="69">
        <f>P70-Q70+P74-Q74+P78-Q78</f>
        <v>0</v>
      </c>
      <c r="P158" s="681">
        <f>P64+4/10000000</f>
        <v>3.9999999999999998E-7</v>
      </c>
      <c r="Q158" s="767"/>
      <c r="R158" s="105"/>
      <c r="S158" s="86">
        <f>RANK(V158,$V$158:$V$161)</f>
        <v>1</v>
      </c>
      <c r="T158" s="69" t="str">
        <f>T64</f>
        <v>3eme E</v>
      </c>
      <c r="U158" s="69">
        <f>V70-W70+V74-W74+V78-W78</f>
        <v>0</v>
      </c>
      <c r="V158" s="681">
        <f>V64+4/10000000</f>
        <v>3.9999999999999998E-7</v>
      </c>
      <c r="W158" s="682"/>
    </row>
    <row r="159" spans="1:23" hidden="1" x14ac:dyDescent="0.25">
      <c r="A159" s="86">
        <f t="shared" ref="A159:A161" si="8">RANK(D159,$D$158:$E$161)</f>
        <v>2</v>
      </c>
      <c r="B159" s="69" t="str">
        <f>B65</f>
        <v>4eme B</v>
      </c>
      <c r="C159" s="69">
        <f>E70-D70+D75-E75+D79-E79</f>
        <v>0</v>
      </c>
      <c r="D159" s="681">
        <f>D65+3/10000000</f>
        <v>2.9999999999999999E-7</v>
      </c>
      <c r="E159" s="767"/>
      <c r="F159" s="774"/>
      <c r="G159" s="91">
        <f t="shared" ref="G159:G161" si="9">RANK(J159,$J$158:$J$161)</f>
        <v>2</v>
      </c>
      <c r="H159" s="69" t="str">
        <f>H65</f>
        <v>4eme F</v>
      </c>
      <c r="I159" s="69">
        <f>K70-J70+J75-K75+J79-K79</f>
        <v>0</v>
      </c>
      <c r="J159" s="681">
        <f>J65+3/10000000</f>
        <v>2.9999999999999999E-7</v>
      </c>
      <c r="K159" s="767"/>
      <c r="L159" s="76"/>
      <c r="M159" s="91">
        <f t="shared" ref="M159:M161" si="10">RANK(P159,$P$158:$P$161)</f>
        <v>2</v>
      </c>
      <c r="N159" s="69" t="str">
        <f>N65</f>
        <v>3eme B</v>
      </c>
      <c r="O159" s="69">
        <f>Q70-P70+P75-Q75+P79-Q79</f>
        <v>0</v>
      </c>
      <c r="P159" s="681">
        <f>P65+3/10000000</f>
        <v>2.9999999999999999E-7</v>
      </c>
      <c r="Q159" s="767"/>
      <c r="R159" s="105"/>
      <c r="S159" s="86">
        <f t="shared" ref="S159:S161" si="11">RANK(V159,$V$158:$V$161)</f>
        <v>2</v>
      </c>
      <c r="T159" s="69" t="str">
        <f>T65</f>
        <v>3eme F</v>
      </c>
      <c r="U159" s="69">
        <f>W70-V70+V75-W75+V79-W79</f>
        <v>0</v>
      </c>
      <c r="V159" s="681">
        <f>V65+3/10000000</f>
        <v>2.9999999999999999E-7</v>
      </c>
      <c r="W159" s="682"/>
    </row>
    <row r="160" spans="1:23" hidden="1" x14ac:dyDescent="0.25">
      <c r="A160" s="86">
        <f t="shared" si="8"/>
        <v>3</v>
      </c>
      <c r="B160" s="69" t="str">
        <f>B66</f>
        <v>3eme C</v>
      </c>
      <c r="C160" s="69">
        <f>D71-E71+E74-D74+E79-D79</f>
        <v>0</v>
      </c>
      <c r="D160" s="681">
        <f>D66+2/10000000</f>
        <v>1.9999999999999999E-7</v>
      </c>
      <c r="E160" s="767"/>
      <c r="F160" s="774"/>
      <c r="G160" s="91">
        <f t="shared" si="9"/>
        <v>3</v>
      </c>
      <c r="H160" s="69" t="str">
        <f>H66</f>
        <v>3eme G</v>
      </c>
      <c r="I160" s="69">
        <f>J71-K71+K74-J74+K79-J79</f>
        <v>0</v>
      </c>
      <c r="J160" s="681">
        <f>J66+2/10000000</f>
        <v>1.9999999999999999E-7</v>
      </c>
      <c r="K160" s="767"/>
      <c r="L160" s="76"/>
      <c r="M160" s="91">
        <f t="shared" si="10"/>
        <v>3</v>
      </c>
      <c r="N160" s="69" t="str">
        <f>N66</f>
        <v>4eme C</v>
      </c>
      <c r="O160" s="69">
        <f>P71-Q71+Q74-P74+Q79-P79</f>
        <v>0</v>
      </c>
      <c r="P160" s="681">
        <f>P66+2/10000000</f>
        <v>1.9999999999999999E-7</v>
      </c>
      <c r="Q160" s="767"/>
      <c r="R160" s="105"/>
      <c r="S160" s="86">
        <f t="shared" si="11"/>
        <v>3</v>
      </c>
      <c r="T160" s="69" t="str">
        <f>T66</f>
        <v>4eme G</v>
      </c>
      <c r="U160" s="69">
        <f>V71-W71+W74-V74+W79-V79</f>
        <v>0</v>
      </c>
      <c r="V160" s="681">
        <f>V66+2/10000000</f>
        <v>1.9999999999999999E-7</v>
      </c>
      <c r="W160" s="682"/>
    </row>
    <row r="161" spans="1:23" ht="15.75" hidden="1" thickBot="1" x14ac:dyDescent="0.3">
      <c r="A161" s="87">
        <f t="shared" si="8"/>
        <v>4</v>
      </c>
      <c r="B161" s="88" t="str">
        <f>B67</f>
        <v>3eme D</v>
      </c>
      <c r="C161" s="88">
        <f>E71-D71+E75-D75+E78-D78</f>
        <v>0</v>
      </c>
      <c r="D161" s="709">
        <f>D67+1/10000000</f>
        <v>9.9999999999999995E-8</v>
      </c>
      <c r="E161" s="761"/>
      <c r="F161" s="775"/>
      <c r="G161" s="92">
        <f t="shared" si="9"/>
        <v>4</v>
      </c>
      <c r="H161" s="88" t="str">
        <f>H67</f>
        <v>3eme H</v>
      </c>
      <c r="I161" s="88">
        <f>K71-J71+K75-J75+K78-J78</f>
        <v>0</v>
      </c>
      <c r="J161" s="709">
        <f>J67+1/10000000</f>
        <v>9.9999999999999995E-8</v>
      </c>
      <c r="K161" s="761"/>
      <c r="L161" s="78"/>
      <c r="M161" s="92">
        <f t="shared" si="10"/>
        <v>4</v>
      </c>
      <c r="N161" s="88" t="str">
        <f>N67</f>
        <v>4eme D</v>
      </c>
      <c r="O161" s="88">
        <f>Q71-P71+Q75-P75+Q78-P78</f>
        <v>0</v>
      </c>
      <c r="P161" s="709">
        <f>P67+1/10000000</f>
        <v>9.9999999999999995E-8</v>
      </c>
      <c r="Q161" s="761"/>
      <c r="R161" s="123"/>
      <c r="S161" s="87">
        <f t="shared" si="11"/>
        <v>4</v>
      </c>
      <c r="T161" s="88" t="str">
        <f>T67</f>
        <v>4eme H</v>
      </c>
      <c r="U161" s="88">
        <f>W71-V71+W75-V75+W78-V78</f>
        <v>0</v>
      </c>
      <c r="V161" s="709">
        <f>V67+1/10000000</f>
        <v>9.9999999999999995E-8</v>
      </c>
      <c r="W161" s="710"/>
    </row>
    <row r="162" spans="1:23" hidden="1" x14ac:dyDescent="0.25">
      <c r="A162" s="700"/>
      <c r="B162" s="700"/>
      <c r="C162" s="700"/>
      <c r="D162" s="700"/>
      <c r="E162" s="700"/>
      <c r="F162" s="700"/>
      <c r="G162" s="700"/>
      <c r="H162" s="700"/>
      <c r="I162" s="700"/>
      <c r="J162" s="700"/>
      <c r="K162" s="700"/>
      <c r="L162" s="700"/>
      <c r="M162" s="700"/>
      <c r="N162" s="700"/>
      <c r="O162" s="700"/>
      <c r="P162" s="700"/>
      <c r="Q162" s="700"/>
    </row>
    <row r="163" spans="1:23" hidden="1" x14ac:dyDescent="0.25">
      <c r="A163" s="1">
        <f>IF(D70="",0,(IF(D70&gt;E70,3,IF(D70=E70,1,0))))</f>
        <v>0</v>
      </c>
      <c r="B163" s="1">
        <f>IF(E70="",0,(IF(E70&gt;D70,3,IF(E70=D70,1,0))))</f>
        <v>0</v>
      </c>
      <c r="G163" s="1">
        <f>IF(J70="",0,(IF(J70&gt;K70,3,IF(J70=K70,1,0))))</f>
        <v>0</v>
      </c>
      <c r="H163" s="1">
        <f>IF(K70="",0,(IF(K70&gt;J70,3,IF(K70=J70,1,0))))</f>
        <v>0</v>
      </c>
      <c r="M163" s="1">
        <f>IF(P70="",0,(IF(P70&gt;Q70,3,IF(P70=Q70,1,0))))</f>
        <v>0</v>
      </c>
      <c r="N163" s="1">
        <f>IF(Q70="",0,(IF(Q70&gt;P70,3,IF(Q70=P70,1,0))))</f>
        <v>0</v>
      </c>
      <c r="S163" s="1">
        <f>IF(V70="",0,(IF(V70&gt;W70,3,IF(V70=W70,1,0))))</f>
        <v>0</v>
      </c>
      <c r="T163" s="1">
        <f>IF(W70="",0,(IF(W70&gt;V70,3,IF(W70=V70,1,0))))</f>
        <v>0</v>
      </c>
    </row>
    <row r="164" spans="1:23" hidden="1" x14ac:dyDescent="0.25">
      <c r="A164" s="1">
        <f>IF(D71="",0,(IF(D71&gt;E71,3,IF(D71=E71,1,0))))</f>
        <v>0</v>
      </c>
      <c r="B164" s="1">
        <f>IF(E71="",0,(IF(E71&gt;D71,3,IF(E71=D71,1,0))))</f>
        <v>0</v>
      </c>
      <c r="G164" s="1">
        <f>IF(J71="",0,(IF(J71&gt;K71,3,IF(J71=K71,1,0))))</f>
        <v>0</v>
      </c>
      <c r="H164" s="1">
        <f>IF(K71="",0,(IF(K71&gt;J71,3,IF(K71=J71,1,0))))</f>
        <v>0</v>
      </c>
      <c r="M164" s="1">
        <f>IF(P71="",0,(IF(P71&gt;Q71,3,IF(P71=Q71,1,0))))</f>
        <v>0</v>
      </c>
      <c r="N164" s="1">
        <f>IF(Q71="",0,(IF(Q71&gt;P71,3,IF(Q71=P71,1,0))))</f>
        <v>0</v>
      </c>
      <c r="S164" s="1">
        <f>IF(V71="",0,(IF(V71&gt;W71,3,IF(V71=W71,1,0))))</f>
        <v>0</v>
      </c>
      <c r="T164" s="1">
        <f>IF(W71="",0,(IF(W71&gt;V71,3,IF(W71=V71,1,0))))</f>
        <v>0</v>
      </c>
    </row>
    <row r="165" spans="1:23" hidden="1" x14ac:dyDescent="0.25"/>
    <row r="166" spans="1:23" hidden="1" x14ac:dyDescent="0.25"/>
    <row r="167" spans="1:23" hidden="1" x14ac:dyDescent="0.25">
      <c r="A167" s="1">
        <f>IF(D74="",0,(IF(D74&gt;E74,3,IF(D74=E74,1,0))))</f>
        <v>0</v>
      </c>
      <c r="B167" s="1">
        <f>IF(E74="",0,(IF(E74&gt;D74,3,IF(E74=D74,1,0))))</f>
        <v>0</v>
      </c>
      <c r="G167" s="1">
        <f>IF(J74="",0,(IF(J74&gt;K74,3,IF(J74=K74,1,0))))</f>
        <v>0</v>
      </c>
      <c r="H167" s="1">
        <f>IF(K74="",0,(IF(K74&gt;J74,3,IF(K74=J74,1,0))))</f>
        <v>0</v>
      </c>
      <c r="M167" s="1">
        <f>IF(P74="",0,(IF(P74&gt;Q74,3,IF(P74=Q74,1,0))))</f>
        <v>0</v>
      </c>
      <c r="N167" s="1">
        <f>IF(Q74="",0,(IF(Q74&gt;P74,3,IF(Q74=P74,1,0))))</f>
        <v>0</v>
      </c>
      <c r="S167" s="1">
        <f>IF(V74="",0,(IF(V74&gt;W74,3,IF(V74=W74,1,0))))</f>
        <v>0</v>
      </c>
      <c r="T167" s="1">
        <f>IF(W74="",0,(IF(W74&gt;V74,3,IF(W74=V74,1,0))))</f>
        <v>0</v>
      </c>
    </row>
    <row r="168" spans="1:23" hidden="1" x14ac:dyDescent="0.25">
      <c r="A168" s="1">
        <f>IF(D75="",0,(IF(D75&gt;E75,3,IF(D75=E75,1,0))))</f>
        <v>0</v>
      </c>
      <c r="B168" s="1">
        <f>IF(E75="",0,(IF(E75&gt;D75,3,IF(E75=D75,1,0))))</f>
        <v>0</v>
      </c>
      <c r="G168" s="1">
        <f>IF(J75="",0,(IF(J75&gt;K75,3,IF(J75=K75,1,0))))</f>
        <v>0</v>
      </c>
      <c r="H168" s="1">
        <f>IF(K75="",0,(IF(K75&gt;J75,3,IF(K75=J75,1,0))))</f>
        <v>0</v>
      </c>
      <c r="M168" s="1">
        <f>IF(P75="",0,(IF(P75&gt;Q75,3,IF(P75=Q75,1,0))))</f>
        <v>0</v>
      </c>
      <c r="N168" s="1">
        <f>IF(Q75="",0,(IF(Q75&gt;P75,3,IF(Q75=P75,1,0))))</f>
        <v>0</v>
      </c>
      <c r="S168" s="1">
        <f>IF(V75="",0,(IF(V75&gt;W75,3,IF(V75=W75,1,0))))</f>
        <v>0</v>
      </c>
      <c r="T168" s="1">
        <f>IF(W75="",0,(IF(W75&gt;V75,3,IF(W75=V75,1,0))))</f>
        <v>0</v>
      </c>
    </row>
    <row r="169" spans="1:23" hidden="1" x14ac:dyDescent="0.25"/>
    <row r="170" spans="1:23" hidden="1" x14ac:dyDescent="0.25"/>
    <row r="171" spans="1:23" hidden="1" x14ac:dyDescent="0.25">
      <c r="A171" s="1">
        <f>IF(D78="",0,(IF(D78&gt;E78,3,IF(D78=E78,1,0))))</f>
        <v>0</v>
      </c>
      <c r="B171" s="1">
        <f>IF(E78="",0,(IF(E78&gt;D78,3,IF(E78=D78,1,0))))</f>
        <v>0</v>
      </c>
      <c r="G171" s="1">
        <f>IF(J78="",0,(IF(J78&gt;K78,3,IF(J78=K78,1,0))))</f>
        <v>0</v>
      </c>
      <c r="H171" s="1">
        <f>IF(K78="",0,(IF(K78&gt;J78,3,IF(K78=J78,1,0))))</f>
        <v>0</v>
      </c>
      <c r="M171" s="1">
        <f>IF(P78="",0,(IF(P78&gt;Q78,3,IF(P78=Q78,1,0))))</f>
        <v>0</v>
      </c>
      <c r="N171" s="1">
        <f>IF(Q78="",0,(IF(Q78&gt;P78,3,IF(Q78=P78,1,0))))</f>
        <v>0</v>
      </c>
      <c r="S171" s="1">
        <f>IF(V78="",0,(IF(V78&gt;W78,3,IF(V78=W78,1,0))))</f>
        <v>0</v>
      </c>
      <c r="T171" s="1">
        <f>IF(W78="",0,(IF(W78&gt;V78,3,IF(W78=V78,1,0))))</f>
        <v>0</v>
      </c>
    </row>
    <row r="172" spans="1:23" hidden="1" x14ac:dyDescent="0.25">
      <c r="A172" s="1">
        <f>IF(D79="",0,(IF(D79&gt;E79,3,IF(D79=E79,1,0))))</f>
        <v>0</v>
      </c>
      <c r="B172" s="1">
        <f>IF(E79="",0,(IF(E79&gt;D79,3,IF(E79=D79,1,0))))</f>
        <v>0</v>
      </c>
      <c r="G172" s="1">
        <f>IF(J79="",0,(IF(J79&gt;K79,3,IF(J79=K79,1,0))))</f>
        <v>0</v>
      </c>
      <c r="H172" s="1">
        <f>IF(K79="",0,(IF(K79&gt;J79,3,IF(K79=J79,1,0))))</f>
        <v>0</v>
      </c>
      <c r="M172" s="1">
        <f>IF(P79="",0,(IF(P79&gt;Q79,3,IF(P79=Q79,1,0))))</f>
        <v>0</v>
      </c>
      <c r="N172" s="1">
        <f>IF(Q79="",0,(IF(Q79&gt;P79,3,IF(Q79=P79,1,0))))</f>
        <v>0</v>
      </c>
      <c r="S172" s="1">
        <f>IF(V79="",0,(IF(V79&gt;W79,3,IF(V79=W79,1,0))))</f>
        <v>0</v>
      </c>
      <c r="T172" s="1">
        <f>IF(W79="",0,(IF(W79&gt;V79,3,IF(W79=V79,1,0))))</f>
        <v>0</v>
      </c>
    </row>
    <row r="173" spans="1:23" hidden="1" x14ac:dyDescent="0.25"/>
    <row r="174" spans="1:23" hidden="1" x14ac:dyDescent="0.25"/>
    <row r="175" spans="1:23" hidden="1" x14ac:dyDescent="0.25"/>
    <row r="176" spans="1:23" hidden="1" x14ac:dyDescent="0.25"/>
    <row r="177" spans="1:23" hidden="1" x14ac:dyDescent="0.25"/>
    <row r="178" spans="1:23" hidden="1" x14ac:dyDescent="0.25"/>
    <row r="179" spans="1:23" hidden="1" x14ac:dyDescent="0.25"/>
    <row r="180" spans="1:23" hidden="1" x14ac:dyDescent="0.25"/>
    <row r="181" spans="1:23" hidden="1" x14ac:dyDescent="0.25"/>
    <row r="182" spans="1:23" ht="16.5" hidden="1" thickBot="1" x14ac:dyDescent="0.3">
      <c r="A182" s="670" t="s">
        <v>305</v>
      </c>
      <c r="B182" s="671"/>
      <c r="C182" s="671"/>
      <c r="D182" s="671"/>
      <c r="E182" s="671"/>
      <c r="F182" s="671"/>
      <c r="G182" s="671"/>
      <c r="H182" s="671"/>
      <c r="I182" s="671"/>
      <c r="J182" s="671"/>
      <c r="K182" s="671"/>
      <c r="L182" s="671"/>
      <c r="M182" s="671"/>
      <c r="N182" s="671"/>
      <c r="O182" s="671"/>
      <c r="P182" s="671"/>
      <c r="Q182" s="671"/>
      <c r="R182" s="671"/>
      <c r="S182" s="671"/>
      <c r="T182" s="671"/>
      <c r="U182" s="671"/>
      <c r="V182" s="671"/>
      <c r="W182" s="672"/>
    </row>
    <row r="183" spans="1:23" hidden="1" x14ac:dyDescent="0.25">
      <c r="A183" s="96"/>
      <c r="B183" s="711" t="s">
        <v>256</v>
      </c>
      <c r="C183" s="711"/>
      <c r="D183" s="711" t="s">
        <v>15</v>
      </c>
      <c r="E183" s="772"/>
      <c r="F183" s="773"/>
      <c r="G183" s="121"/>
      <c r="H183" s="711" t="s">
        <v>257</v>
      </c>
      <c r="I183" s="711"/>
      <c r="J183" s="711" t="s">
        <v>15</v>
      </c>
      <c r="K183" s="772"/>
      <c r="L183" s="75"/>
      <c r="M183" s="121"/>
      <c r="N183" s="711" t="s">
        <v>303</v>
      </c>
      <c r="O183" s="711"/>
      <c r="P183" s="711" t="s">
        <v>15</v>
      </c>
      <c r="Q183" s="772"/>
      <c r="R183" s="122"/>
      <c r="S183" s="96"/>
      <c r="T183" s="711" t="s">
        <v>304</v>
      </c>
      <c r="U183" s="711"/>
      <c r="V183" s="711" t="s">
        <v>15</v>
      </c>
      <c r="W183" s="712"/>
    </row>
    <row r="184" spans="1:23" hidden="1" x14ac:dyDescent="0.25">
      <c r="A184" s="86">
        <f>RANK(D184,$D$184:$E$187)</f>
        <v>1</v>
      </c>
      <c r="B184" s="69" t="str">
        <f>B83</f>
        <v>2eme A</v>
      </c>
      <c r="C184" s="69">
        <f>D89-E89+D93-E93+D97-E97</f>
        <v>0</v>
      </c>
      <c r="D184" s="681">
        <f>D83+4/10000000</f>
        <v>3.9999999999999998E-7</v>
      </c>
      <c r="E184" s="767"/>
      <c r="F184" s="774"/>
      <c r="G184" s="91">
        <f>RANK(J184,$J$184:$J$187)</f>
        <v>1</v>
      </c>
      <c r="H184" s="69" t="str">
        <f>H83</f>
        <v>2eme E</v>
      </c>
      <c r="I184" s="69">
        <f>J89-K89+J93-K93+J97-K97</f>
        <v>0</v>
      </c>
      <c r="J184" s="681">
        <f>J83+4/10000000</f>
        <v>3.9999999999999998E-7</v>
      </c>
      <c r="K184" s="767"/>
      <c r="L184" s="76"/>
      <c r="M184" s="91">
        <f>RANK(P184,$P$184:$P$187)</f>
        <v>1</v>
      </c>
      <c r="N184" s="69" t="str">
        <f>N83</f>
        <v>1er A</v>
      </c>
      <c r="O184" s="69">
        <f>P89-Q89+P93-Q93+P97-Q97</f>
        <v>0</v>
      </c>
      <c r="P184" s="681">
        <f>P83+4/10000000</f>
        <v>3.9999999999999998E-7</v>
      </c>
      <c r="Q184" s="767"/>
      <c r="R184" s="105"/>
      <c r="S184" s="86">
        <f>RANK(V184,$V$184:$V$187)</f>
        <v>1</v>
      </c>
      <c r="T184" s="69" t="str">
        <f>T83</f>
        <v>1er E</v>
      </c>
      <c r="U184" s="69">
        <f>V89-W89+V93-W93+V97-W97</f>
        <v>0</v>
      </c>
      <c r="V184" s="681">
        <f>V83+4/10000000</f>
        <v>3.9999999999999998E-7</v>
      </c>
      <c r="W184" s="682"/>
    </row>
    <row r="185" spans="1:23" hidden="1" x14ac:dyDescent="0.25">
      <c r="A185" s="86">
        <f t="shared" ref="A185:A187" si="12">RANK(D185,$D$184:$E$187)</f>
        <v>2</v>
      </c>
      <c r="B185" s="69" t="str">
        <f>B84</f>
        <v>2eme B</v>
      </c>
      <c r="C185" s="69">
        <f>E89-D89+D94-E94+D98-E98</f>
        <v>0</v>
      </c>
      <c r="D185" s="681">
        <f>D84+3/10000000</f>
        <v>2.9999999999999999E-7</v>
      </c>
      <c r="E185" s="767"/>
      <c r="F185" s="774"/>
      <c r="G185" s="91">
        <f t="shared" ref="G185:G187" si="13">RANK(J185,$J$184:$J$187)</f>
        <v>2</v>
      </c>
      <c r="H185" s="69" t="str">
        <f>H84</f>
        <v>2eme F</v>
      </c>
      <c r="I185" s="69">
        <f>K89-J89+J94-K94+J98-K98</f>
        <v>0</v>
      </c>
      <c r="J185" s="681">
        <f>J84+3/10000000</f>
        <v>2.9999999999999999E-7</v>
      </c>
      <c r="K185" s="767"/>
      <c r="L185" s="76"/>
      <c r="M185" s="91">
        <f t="shared" ref="M185:M187" si="14">RANK(P185,$P$184:$P$187)</f>
        <v>2</v>
      </c>
      <c r="N185" s="69" t="str">
        <f>N84</f>
        <v>1er B</v>
      </c>
      <c r="O185" s="69">
        <f>Q89-P89+P94-Q94+P98-Q98</f>
        <v>0</v>
      </c>
      <c r="P185" s="681">
        <f>P84+3/10000000</f>
        <v>2.9999999999999999E-7</v>
      </c>
      <c r="Q185" s="767"/>
      <c r="R185" s="105"/>
      <c r="S185" s="86">
        <f t="shared" ref="S185:S187" si="15">RANK(V185,$V$184:$V$187)</f>
        <v>2</v>
      </c>
      <c r="T185" s="69" t="str">
        <f>T84</f>
        <v>1er F</v>
      </c>
      <c r="U185" s="69">
        <f>W89-V89+V94-W94+V98-W98</f>
        <v>0</v>
      </c>
      <c r="V185" s="681">
        <f>V84+3/10000000</f>
        <v>2.9999999999999999E-7</v>
      </c>
      <c r="W185" s="682"/>
    </row>
    <row r="186" spans="1:23" hidden="1" x14ac:dyDescent="0.25">
      <c r="A186" s="86">
        <f t="shared" si="12"/>
        <v>3</v>
      </c>
      <c r="B186" s="69" t="str">
        <f>B85</f>
        <v>1er C</v>
      </c>
      <c r="C186" s="69">
        <f>D90-E90+E93-D93+E98-D98</f>
        <v>0</v>
      </c>
      <c r="D186" s="681">
        <f>D85+2/10000000</f>
        <v>1.9999999999999999E-7</v>
      </c>
      <c r="E186" s="767"/>
      <c r="F186" s="774"/>
      <c r="G186" s="91">
        <f t="shared" si="13"/>
        <v>3</v>
      </c>
      <c r="H186" s="69" t="str">
        <f>H85</f>
        <v>1er G</v>
      </c>
      <c r="I186" s="69">
        <f>J90-K90+K93-J93+K98-J98</f>
        <v>0</v>
      </c>
      <c r="J186" s="681">
        <f>J85+2/10000000</f>
        <v>1.9999999999999999E-7</v>
      </c>
      <c r="K186" s="767"/>
      <c r="L186" s="76"/>
      <c r="M186" s="91">
        <f t="shared" si="14"/>
        <v>3</v>
      </c>
      <c r="N186" s="69" t="str">
        <f>N85</f>
        <v>2eme C</v>
      </c>
      <c r="O186" s="69">
        <f>P90-Q90+Q93-P93+Q98-P98</f>
        <v>0</v>
      </c>
      <c r="P186" s="681">
        <f>P85+2/10000000</f>
        <v>1.9999999999999999E-7</v>
      </c>
      <c r="Q186" s="767"/>
      <c r="R186" s="105"/>
      <c r="S186" s="86">
        <f t="shared" si="15"/>
        <v>3</v>
      </c>
      <c r="T186" s="69" t="str">
        <f>T85</f>
        <v>2eme G</v>
      </c>
      <c r="U186" s="69">
        <f>V90-W90+W93-V93+W98-V98</f>
        <v>0</v>
      </c>
      <c r="V186" s="681">
        <f>V85+2/10000000</f>
        <v>1.9999999999999999E-7</v>
      </c>
      <c r="W186" s="682"/>
    </row>
    <row r="187" spans="1:23" ht="15.75" hidden="1" thickBot="1" x14ac:dyDescent="0.3">
      <c r="A187" s="87">
        <f t="shared" si="12"/>
        <v>4</v>
      </c>
      <c r="B187" s="88" t="str">
        <f>B86</f>
        <v>1er D</v>
      </c>
      <c r="C187" s="88">
        <f>E90-D90+E94-D94+E97-D97</f>
        <v>0</v>
      </c>
      <c r="D187" s="709">
        <f>D86+1/10000000</f>
        <v>9.9999999999999995E-8</v>
      </c>
      <c r="E187" s="761"/>
      <c r="F187" s="775"/>
      <c r="G187" s="92">
        <f t="shared" si="13"/>
        <v>4</v>
      </c>
      <c r="H187" s="88" t="str">
        <f>H86</f>
        <v>1er H</v>
      </c>
      <c r="I187" s="88">
        <f>K90-J90+K94-J94+K97-J97</f>
        <v>0</v>
      </c>
      <c r="J187" s="709">
        <f>J86+1/10000000</f>
        <v>9.9999999999999995E-8</v>
      </c>
      <c r="K187" s="761"/>
      <c r="L187" s="78"/>
      <c r="M187" s="92">
        <f t="shared" si="14"/>
        <v>4</v>
      </c>
      <c r="N187" s="88" t="str">
        <f>N86</f>
        <v>2eme D</v>
      </c>
      <c r="O187" s="88">
        <f>Q90-P90+Q94-P94+Q97-P97</f>
        <v>0</v>
      </c>
      <c r="P187" s="709">
        <f>P86+1/10000000</f>
        <v>9.9999999999999995E-8</v>
      </c>
      <c r="Q187" s="761"/>
      <c r="R187" s="123"/>
      <c r="S187" s="87">
        <f t="shared" si="15"/>
        <v>4</v>
      </c>
      <c r="T187" s="88" t="str">
        <f>T86</f>
        <v>2eme H</v>
      </c>
      <c r="U187" s="88">
        <f>W90-V90+W94-V94+W97-V97</f>
        <v>0</v>
      </c>
      <c r="V187" s="709">
        <f>V86+1/10000000</f>
        <v>9.9999999999999995E-8</v>
      </c>
      <c r="W187" s="710"/>
    </row>
    <row r="188" spans="1:23" hidden="1" x14ac:dyDescent="0.25">
      <c r="A188" s="700"/>
      <c r="B188" s="700"/>
      <c r="C188" s="700"/>
      <c r="D188" s="700"/>
      <c r="E188" s="700"/>
      <c r="F188" s="700"/>
      <c r="G188" s="700"/>
      <c r="H188" s="700"/>
      <c r="I188" s="700"/>
      <c r="J188" s="700"/>
      <c r="K188" s="700"/>
      <c r="L188" s="700"/>
      <c r="M188" s="700"/>
      <c r="N188" s="700"/>
      <c r="O188" s="700"/>
      <c r="P188" s="700"/>
      <c r="Q188" s="700"/>
    </row>
    <row r="189" spans="1:23" hidden="1" x14ac:dyDescent="0.25">
      <c r="A189" s="1">
        <f>IF(D89="",0,(IF(D89&gt;E89,3,IF(D89=E89,1,0))))</f>
        <v>0</v>
      </c>
      <c r="B189" s="1">
        <f>IF(E89="",0,(IF(E89&gt;D89,3,IF(E89=D89,1,0))))</f>
        <v>0</v>
      </c>
      <c r="G189" s="1">
        <f>IF(J89="",0,(IF(J89&gt;K89,3,IF(J89=K89,1,0))))</f>
        <v>0</v>
      </c>
      <c r="H189" s="1">
        <f>IF(K89="",0,(IF(K89&gt;J89,3,IF(K89=J89,1,0))))</f>
        <v>0</v>
      </c>
      <c r="M189" s="1">
        <f>IF(P89="",0,(IF(P89&gt;Q89,3,IF(P89=Q89,1,0))))</f>
        <v>0</v>
      </c>
      <c r="N189" s="1">
        <f>IF(Q89="",0,(IF(Q89&gt;P89,3,IF(Q89=P89,1,0))))</f>
        <v>0</v>
      </c>
      <c r="S189" s="1">
        <f>IF(V89="",0,(IF(V89&gt;W89,3,IF(V89=W89,1,0))))</f>
        <v>0</v>
      </c>
      <c r="T189" s="1">
        <f>IF(W89="",0,(IF(W89&gt;V89,3,IF(W89=V89,1,0))))</f>
        <v>0</v>
      </c>
    </row>
    <row r="190" spans="1:23" hidden="1" x14ac:dyDescent="0.25">
      <c r="A190" s="1">
        <f>IF(D90="",0,(IF(D90&gt;E90,3,IF(D90=E90,1,0))))</f>
        <v>0</v>
      </c>
      <c r="B190" s="1">
        <f>IF(E90="",0,(IF(E90&gt;D90,3,IF(E90=D90,1,0))))</f>
        <v>0</v>
      </c>
      <c r="G190" s="1">
        <f>IF(J90="",0,(IF(J90&gt;K90,3,IF(J90=K90,1,0))))</f>
        <v>0</v>
      </c>
      <c r="H190" s="1">
        <f>IF(K90="",0,(IF(K90&gt;J90,3,IF(K90=J90,1,0))))</f>
        <v>0</v>
      </c>
      <c r="M190" s="1">
        <f>IF(P90="",0,(IF(P90&gt;Q90,3,IF(P90=Q90,1,0))))</f>
        <v>0</v>
      </c>
      <c r="N190" s="1">
        <f>IF(Q90="",0,(IF(Q90&gt;P90,3,IF(Q90=P90,1,0))))</f>
        <v>0</v>
      </c>
      <c r="S190" s="1">
        <f>IF(V90="",0,(IF(V90&gt;W90,3,IF(V90=W90,1,0))))</f>
        <v>0</v>
      </c>
      <c r="T190" s="1">
        <f>IF(W90="",0,(IF(W90&gt;V90,3,IF(W90=V90,1,0))))</f>
        <v>0</v>
      </c>
    </row>
    <row r="191" spans="1:23" hidden="1" x14ac:dyDescent="0.25"/>
    <row r="192" spans="1:23" hidden="1" x14ac:dyDescent="0.25"/>
    <row r="193" spans="1:20" hidden="1" x14ac:dyDescent="0.25">
      <c r="A193" s="1">
        <f>IF(D93="",0,(IF(D93&gt;E93,3,IF(D93=E93,1,0))))</f>
        <v>0</v>
      </c>
      <c r="B193" s="1">
        <f>IF(E93="",0,(IF(E93&gt;D93,3,IF(E93=D93,1,0))))</f>
        <v>0</v>
      </c>
      <c r="G193" s="1">
        <f>IF(J93="",0,(IF(J93&gt;K93,3,IF(J93=K93,1,0))))</f>
        <v>0</v>
      </c>
      <c r="H193" s="1">
        <f>IF(K93="",0,(IF(K93&gt;J93,3,IF(K93=J93,1,0))))</f>
        <v>0</v>
      </c>
      <c r="M193" s="1">
        <f>IF(P93="",0,(IF(P93&gt;Q93,3,IF(P93=Q93,1,0))))</f>
        <v>0</v>
      </c>
      <c r="N193" s="1">
        <f>IF(Q93="",0,(IF(Q93&gt;P93,3,IF(Q93=P93,1,0))))</f>
        <v>0</v>
      </c>
      <c r="S193" s="1">
        <f>IF(V93="",0,(IF(V93&gt;W93,3,IF(V93=W93,1,0))))</f>
        <v>0</v>
      </c>
      <c r="T193" s="1">
        <f>IF(W93="",0,(IF(W93&gt;V93,3,IF(W93=V93,1,0))))</f>
        <v>0</v>
      </c>
    </row>
    <row r="194" spans="1:20" hidden="1" x14ac:dyDescent="0.25">
      <c r="A194" s="1">
        <f>IF(D94="",0,(IF(D94&gt;E94,3,IF(D94=E94,1,0))))</f>
        <v>0</v>
      </c>
      <c r="B194" s="1">
        <f>IF(E94="",0,(IF(E94&gt;D94,3,IF(E94=D94,1,0))))</f>
        <v>0</v>
      </c>
      <c r="G194" s="1">
        <f>IF(J94="",0,(IF(J94&gt;K94,3,IF(J94=K94,1,0))))</f>
        <v>0</v>
      </c>
      <c r="H194" s="1">
        <f>IF(K94="",0,(IF(K94&gt;J94,3,IF(K94=J94,1,0))))</f>
        <v>0</v>
      </c>
      <c r="M194" s="1">
        <f>IF(P94="",0,(IF(P94&gt;Q94,3,IF(P94=Q94,1,0))))</f>
        <v>0</v>
      </c>
      <c r="N194" s="1">
        <f>IF(Q94="",0,(IF(Q94&gt;P94,3,IF(Q94=P94,1,0))))</f>
        <v>0</v>
      </c>
      <c r="S194" s="1">
        <f>IF(V94="",0,(IF(V94&gt;W94,3,IF(V94=W94,1,0))))</f>
        <v>0</v>
      </c>
      <c r="T194" s="1">
        <f>IF(W94="",0,(IF(W94&gt;V94,3,IF(W94=V94,1,0))))</f>
        <v>0</v>
      </c>
    </row>
    <row r="195" spans="1:20" hidden="1" x14ac:dyDescent="0.25"/>
    <row r="196" spans="1:20" hidden="1" x14ac:dyDescent="0.25"/>
    <row r="197" spans="1:20" hidden="1" x14ac:dyDescent="0.25">
      <c r="A197" s="1">
        <f>IF(D97="",0,(IF(D97&gt;E97,3,IF(D97=E97,1,0))))</f>
        <v>0</v>
      </c>
      <c r="B197" s="1">
        <f>IF(E97="",0,(IF(E97&gt;D97,3,IF(E97=D97,1,0))))</f>
        <v>0</v>
      </c>
      <c r="G197" s="1">
        <f>IF(J97="",0,(IF(J97&gt;K97,3,IF(J97=K97,1,0))))</f>
        <v>0</v>
      </c>
      <c r="H197" s="1">
        <f>IF(K97="",0,(IF(K97&gt;J97,3,IF(K97=J97,1,0))))</f>
        <v>0</v>
      </c>
      <c r="M197" s="1">
        <f>IF(P97="",0,(IF(P97&gt;Q97,3,IF(P97=Q97,1,0))))</f>
        <v>0</v>
      </c>
      <c r="N197" s="1">
        <f>IF(Q97="",0,(IF(Q97&gt;P97,3,IF(Q97=P97,1,0))))</f>
        <v>0</v>
      </c>
      <c r="S197" s="1">
        <f>IF(V97="",0,(IF(V97&gt;W97,3,IF(V97=W97,1,0))))</f>
        <v>0</v>
      </c>
      <c r="T197" s="1">
        <f>IF(W97="",0,(IF(W97&gt;V97,3,IF(W97=V97,1,0))))</f>
        <v>0</v>
      </c>
    </row>
    <row r="198" spans="1:20" hidden="1" x14ac:dyDescent="0.25">
      <c r="A198" s="1">
        <f>IF(D98="",0,(IF(D98&gt;E98,3,IF(D98=E98,1,0))))</f>
        <v>0</v>
      </c>
      <c r="B198" s="1">
        <f>IF(E98="",0,(IF(E98&gt;D98,3,IF(E98=D98,1,0))))</f>
        <v>0</v>
      </c>
      <c r="G198" s="1">
        <f>IF(J98="",0,(IF(J98&gt;K98,3,IF(J98=K98,1,0))))</f>
        <v>0</v>
      </c>
      <c r="H198" s="1">
        <f>IF(K98="",0,(IF(K98&gt;J98,3,IF(K98=J98,1,0))))</f>
        <v>0</v>
      </c>
      <c r="M198" s="1">
        <f>IF(P98="",0,(IF(P98&gt;Q98,3,IF(P98=Q98,1,0))))</f>
        <v>0</v>
      </c>
      <c r="N198" s="1">
        <f>IF(Q98="",0,(IF(Q98&gt;P98,3,IF(Q98=P98,1,0))))</f>
        <v>0</v>
      </c>
      <c r="S198" s="1">
        <f>IF(V98="",0,(IF(V98&gt;W98,3,IF(V98=W98,1,0))))</f>
        <v>0</v>
      </c>
      <c r="T198" s="1">
        <f>IF(W98="",0,(IF(W98&gt;V98,3,IF(W98=V98,1,0))))</f>
        <v>0</v>
      </c>
    </row>
    <row r="199" spans="1:20" hidden="1" x14ac:dyDescent="0.25"/>
    <row r="200" spans="1:20" hidden="1" x14ac:dyDescent="0.25"/>
    <row r="201" spans="1:20" hidden="1" x14ac:dyDescent="0.25"/>
    <row r="202" spans="1:20" hidden="1" x14ac:dyDescent="0.25"/>
    <row r="203" spans="1:20" hidden="1" x14ac:dyDescent="0.25"/>
    <row r="204" spans="1:20" hidden="1" x14ac:dyDescent="0.25"/>
    <row r="205" spans="1:20" hidden="1" x14ac:dyDescent="0.25"/>
    <row r="206" spans="1:20" hidden="1" x14ac:dyDescent="0.25"/>
  </sheetData>
  <sheetProtection sheet="1" scenarios="1" selectLockedCells="1"/>
  <mergeCells count="476">
    <mergeCell ref="A6:H6"/>
    <mergeCell ref="J6:L6"/>
    <mergeCell ref="O6:W6"/>
    <mergeCell ref="B8:C8"/>
    <mergeCell ref="A1:T1"/>
    <mergeCell ref="U1:W5"/>
    <mergeCell ref="E4:G4"/>
    <mergeCell ref="I4:K4"/>
    <mergeCell ref="L4:M4"/>
    <mergeCell ref="E5:G5"/>
    <mergeCell ref="L5:M5"/>
    <mergeCell ref="R5:S5"/>
    <mergeCell ref="V8:W8"/>
    <mergeCell ref="B9:C9"/>
    <mergeCell ref="D9:E9"/>
    <mergeCell ref="H9:I9"/>
    <mergeCell ref="J9:K9"/>
    <mergeCell ref="N9:O9"/>
    <mergeCell ref="P9:Q9"/>
    <mergeCell ref="T9:U9"/>
    <mergeCell ref="V9:W9"/>
    <mergeCell ref="D8:E8"/>
    <mergeCell ref="H8:I8"/>
    <mergeCell ref="J8:K8"/>
    <mergeCell ref="N8:O8"/>
    <mergeCell ref="P8:Q8"/>
    <mergeCell ref="T8:U8"/>
    <mergeCell ref="T10:U10"/>
    <mergeCell ref="V10:W10"/>
    <mergeCell ref="B11:C11"/>
    <mergeCell ref="D11:E11"/>
    <mergeCell ref="H11:I11"/>
    <mergeCell ref="J11:K11"/>
    <mergeCell ref="N11:O11"/>
    <mergeCell ref="P11:Q11"/>
    <mergeCell ref="T11:U11"/>
    <mergeCell ref="V11:W11"/>
    <mergeCell ref="B10:C10"/>
    <mergeCell ref="D10:E10"/>
    <mergeCell ref="H10:I10"/>
    <mergeCell ref="J10:K10"/>
    <mergeCell ref="N10:O10"/>
    <mergeCell ref="P10:Q10"/>
    <mergeCell ref="T12:U12"/>
    <mergeCell ref="V12:W12"/>
    <mergeCell ref="B14:C14"/>
    <mergeCell ref="D14:E14"/>
    <mergeCell ref="H14:I14"/>
    <mergeCell ref="J14:K14"/>
    <mergeCell ref="N14:O14"/>
    <mergeCell ref="P14:Q14"/>
    <mergeCell ref="T14:U14"/>
    <mergeCell ref="V14:W14"/>
    <mergeCell ref="B12:C12"/>
    <mergeCell ref="D12:E12"/>
    <mergeCell ref="H12:I12"/>
    <mergeCell ref="J12:K12"/>
    <mergeCell ref="N12:O12"/>
    <mergeCell ref="P12:Q12"/>
    <mergeCell ref="T18:U18"/>
    <mergeCell ref="V18:W18"/>
    <mergeCell ref="B22:C22"/>
    <mergeCell ref="D22:E22"/>
    <mergeCell ref="H22:I22"/>
    <mergeCell ref="J22:K22"/>
    <mergeCell ref="N22:O22"/>
    <mergeCell ref="P22:Q22"/>
    <mergeCell ref="T22:U22"/>
    <mergeCell ref="V22:W22"/>
    <mergeCell ref="B18:C18"/>
    <mergeCell ref="D18:E18"/>
    <mergeCell ref="H18:I18"/>
    <mergeCell ref="J18:K18"/>
    <mergeCell ref="N18:O18"/>
    <mergeCell ref="P18:Q18"/>
    <mergeCell ref="A26:W26"/>
    <mergeCell ref="B27:C27"/>
    <mergeCell ref="D27:E27"/>
    <mergeCell ref="H27:I27"/>
    <mergeCell ref="J27:K27"/>
    <mergeCell ref="N27:O27"/>
    <mergeCell ref="P27:Q27"/>
    <mergeCell ref="T27:U27"/>
    <mergeCell ref="V27:W27"/>
    <mergeCell ref="T28:U28"/>
    <mergeCell ref="V28:W28"/>
    <mergeCell ref="B29:C29"/>
    <mergeCell ref="D29:E29"/>
    <mergeCell ref="H29:I29"/>
    <mergeCell ref="J29:K29"/>
    <mergeCell ref="N29:O29"/>
    <mergeCell ref="P29:Q29"/>
    <mergeCell ref="T29:U29"/>
    <mergeCell ref="V29:W29"/>
    <mergeCell ref="B28:C28"/>
    <mergeCell ref="D28:E28"/>
    <mergeCell ref="H28:I28"/>
    <mergeCell ref="J28:K28"/>
    <mergeCell ref="N28:O28"/>
    <mergeCell ref="P28:Q28"/>
    <mergeCell ref="T30:U30"/>
    <mergeCell ref="V30:W30"/>
    <mergeCell ref="B31:C31"/>
    <mergeCell ref="D31:E31"/>
    <mergeCell ref="H31:I31"/>
    <mergeCell ref="J31:K31"/>
    <mergeCell ref="N31:O31"/>
    <mergeCell ref="P31:Q31"/>
    <mergeCell ref="T31:U31"/>
    <mergeCell ref="V31:W31"/>
    <mergeCell ref="B30:C30"/>
    <mergeCell ref="D30:E30"/>
    <mergeCell ref="H30:I30"/>
    <mergeCell ref="J30:K30"/>
    <mergeCell ref="N30:O30"/>
    <mergeCell ref="P30:Q30"/>
    <mergeCell ref="H34:I34"/>
    <mergeCell ref="J34:K34"/>
    <mergeCell ref="N34:O34"/>
    <mergeCell ref="P34:Q34"/>
    <mergeCell ref="T34:U34"/>
    <mergeCell ref="V34:W34"/>
    <mergeCell ref="A32:W32"/>
    <mergeCell ref="B34:C34"/>
    <mergeCell ref="D34:E34"/>
    <mergeCell ref="T35:U35"/>
    <mergeCell ref="V35:W35"/>
    <mergeCell ref="B36:C36"/>
    <mergeCell ref="D36:E36"/>
    <mergeCell ref="H36:I36"/>
    <mergeCell ref="J36:K36"/>
    <mergeCell ref="N36:O36"/>
    <mergeCell ref="P36:Q36"/>
    <mergeCell ref="T36:U36"/>
    <mergeCell ref="V36:W36"/>
    <mergeCell ref="B35:C35"/>
    <mergeCell ref="D35:E35"/>
    <mergeCell ref="H35:I35"/>
    <mergeCell ref="J35:K35"/>
    <mergeCell ref="N35:O35"/>
    <mergeCell ref="P35:Q35"/>
    <mergeCell ref="T37:U37"/>
    <mergeCell ref="V37:W37"/>
    <mergeCell ref="B38:C38"/>
    <mergeCell ref="D38:E38"/>
    <mergeCell ref="H38:I38"/>
    <mergeCell ref="J38:K38"/>
    <mergeCell ref="N38:O38"/>
    <mergeCell ref="P38:Q38"/>
    <mergeCell ref="T38:U38"/>
    <mergeCell ref="V38:W38"/>
    <mergeCell ref="B37:C37"/>
    <mergeCell ref="D37:E37"/>
    <mergeCell ref="H37:I37"/>
    <mergeCell ref="J37:K37"/>
    <mergeCell ref="N37:O37"/>
    <mergeCell ref="P37:Q37"/>
    <mergeCell ref="T40:U40"/>
    <mergeCell ref="V40:W40"/>
    <mergeCell ref="B44:C44"/>
    <mergeCell ref="D44:E44"/>
    <mergeCell ref="H44:I44"/>
    <mergeCell ref="J44:K44"/>
    <mergeCell ref="N44:O44"/>
    <mergeCell ref="P44:Q44"/>
    <mergeCell ref="T44:U44"/>
    <mergeCell ref="V44:W44"/>
    <mergeCell ref="B40:C40"/>
    <mergeCell ref="D40:E40"/>
    <mergeCell ref="H40:I40"/>
    <mergeCell ref="J40:K40"/>
    <mergeCell ref="N40:O40"/>
    <mergeCell ref="P40:Q40"/>
    <mergeCell ref="T48:U48"/>
    <mergeCell ref="V48:W48"/>
    <mergeCell ref="A52:W52"/>
    <mergeCell ref="B53:C53"/>
    <mergeCell ref="D53:E53"/>
    <mergeCell ref="H53:I53"/>
    <mergeCell ref="J53:K53"/>
    <mergeCell ref="N53:O53"/>
    <mergeCell ref="P53:Q53"/>
    <mergeCell ref="T53:U53"/>
    <mergeCell ref="B48:C48"/>
    <mergeCell ref="D48:E48"/>
    <mergeCell ref="H48:I48"/>
    <mergeCell ref="J48:K48"/>
    <mergeCell ref="N48:O48"/>
    <mergeCell ref="P48:Q48"/>
    <mergeCell ref="V53:W53"/>
    <mergeCell ref="B54:C54"/>
    <mergeCell ref="D54:E54"/>
    <mergeCell ref="H54:I54"/>
    <mergeCell ref="J54:K54"/>
    <mergeCell ref="N54:O54"/>
    <mergeCell ref="P54:Q54"/>
    <mergeCell ref="T54:U54"/>
    <mergeCell ref="V54:W54"/>
    <mergeCell ref="T55:U55"/>
    <mergeCell ref="V55:W55"/>
    <mergeCell ref="B56:C56"/>
    <mergeCell ref="D56:E56"/>
    <mergeCell ref="H56:I56"/>
    <mergeCell ref="J56:K56"/>
    <mergeCell ref="N56:O56"/>
    <mergeCell ref="P56:Q56"/>
    <mergeCell ref="T56:U56"/>
    <mergeCell ref="V56:W56"/>
    <mergeCell ref="B55:C55"/>
    <mergeCell ref="D55:E55"/>
    <mergeCell ref="H55:I55"/>
    <mergeCell ref="J55:K55"/>
    <mergeCell ref="N55:O55"/>
    <mergeCell ref="P55:Q55"/>
    <mergeCell ref="T57:U57"/>
    <mergeCell ref="V57:W57"/>
    <mergeCell ref="A58:W58"/>
    <mergeCell ref="A60:W60"/>
    <mergeCell ref="A61:H61"/>
    <mergeCell ref="J61:L61"/>
    <mergeCell ref="O61:W61"/>
    <mergeCell ref="B57:C57"/>
    <mergeCell ref="D57:E57"/>
    <mergeCell ref="H57:I57"/>
    <mergeCell ref="J57:K57"/>
    <mergeCell ref="N57:O57"/>
    <mergeCell ref="P57:Q57"/>
    <mergeCell ref="A59:W59"/>
    <mergeCell ref="B63:C63"/>
    <mergeCell ref="D63:E63"/>
    <mergeCell ref="H63:I63"/>
    <mergeCell ref="J63:K63"/>
    <mergeCell ref="N63:O63"/>
    <mergeCell ref="P63:Q63"/>
    <mergeCell ref="T63:U63"/>
    <mergeCell ref="V63:W63"/>
    <mergeCell ref="M62:W62"/>
    <mergeCell ref="N64:O64"/>
    <mergeCell ref="P64:Q64"/>
    <mergeCell ref="T64:U64"/>
    <mergeCell ref="V64:W64"/>
    <mergeCell ref="B65:C65"/>
    <mergeCell ref="D65:E65"/>
    <mergeCell ref="H65:I65"/>
    <mergeCell ref="J65:K65"/>
    <mergeCell ref="N65:O65"/>
    <mergeCell ref="P65:Q65"/>
    <mergeCell ref="B64:C64"/>
    <mergeCell ref="D64:E64"/>
    <mergeCell ref="H64:I64"/>
    <mergeCell ref="J64:K64"/>
    <mergeCell ref="T65:U65"/>
    <mergeCell ref="V65:W65"/>
    <mergeCell ref="B66:C66"/>
    <mergeCell ref="D66:E66"/>
    <mergeCell ref="H66:I66"/>
    <mergeCell ref="J66:K66"/>
    <mergeCell ref="N66:O66"/>
    <mergeCell ref="P66:Q66"/>
    <mergeCell ref="T66:U66"/>
    <mergeCell ref="V66:W66"/>
    <mergeCell ref="T67:U67"/>
    <mergeCell ref="V67:W67"/>
    <mergeCell ref="B69:C69"/>
    <mergeCell ref="D69:E69"/>
    <mergeCell ref="H69:I69"/>
    <mergeCell ref="J69:K69"/>
    <mergeCell ref="N69:O69"/>
    <mergeCell ref="P69:Q69"/>
    <mergeCell ref="T69:U69"/>
    <mergeCell ref="V69:W69"/>
    <mergeCell ref="B67:C67"/>
    <mergeCell ref="D67:E67"/>
    <mergeCell ref="H67:I67"/>
    <mergeCell ref="J67:K67"/>
    <mergeCell ref="N67:O67"/>
    <mergeCell ref="P67:Q67"/>
    <mergeCell ref="A80:K80"/>
    <mergeCell ref="M80:W80"/>
    <mergeCell ref="B82:C82"/>
    <mergeCell ref="T73:U73"/>
    <mergeCell ref="V73:W73"/>
    <mergeCell ref="B77:C77"/>
    <mergeCell ref="D77:E77"/>
    <mergeCell ref="H77:I77"/>
    <mergeCell ref="J77:K77"/>
    <mergeCell ref="N77:O77"/>
    <mergeCell ref="P77:Q77"/>
    <mergeCell ref="T77:U77"/>
    <mergeCell ref="V77:W77"/>
    <mergeCell ref="B73:C73"/>
    <mergeCell ref="D73:E73"/>
    <mergeCell ref="H73:I73"/>
    <mergeCell ref="J73:K73"/>
    <mergeCell ref="N73:O73"/>
    <mergeCell ref="P73:Q73"/>
    <mergeCell ref="V82:W82"/>
    <mergeCell ref="A81:K81"/>
    <mergeCell ref="M81:W81"/>
    <mergeCell ref="B83:C83"/>
    <mergeCell ref="D83:E83"/>
    <mergeCell ref="H83:I83"/>
    <mergeCell ref="J83:K83"/>
    <mergeCell ref="N83:O83"/>
    <mergeCell ref="P83:Q83"/>
    <mergeCell ref="T83:U83"/>
    <mergeCell ref="V83:W83"/>
    <mergeCell ref="D82:E82"/>
    <mergeCell ref="H82:I82"/>
    <mergeCell ref="J82:K82"/>
    <mergeCell ref="N82:O82"/>
    <mergeCell ref="P82:Q82"/>
    <mergeCell ref="T82:U82"/>
    <mergeCell ref="T84:U84"/>
    <mergeCell ref="V84:W84"/>
    <mergeCell ref="B85:C85"/>
    <mergeCell ref="D85:E85"/>
    <mergeCell ref="H85:I85"/>
    <mergeCell ref="J85:K85"/>
    <mergeCell ref="N85:O85"/>
    <mergeCell ref="P85:Q85"/>
    <mergeCell ref="T85:U85"/>
    <mergeCell ref="V85:W85"/>
    <mergeCell ref="B84:C84"/>
    <mergeCell ref="D84:E84"/>
    <mergeCell ref="H84:I84"/>
    <mergeCell ref="J84:K84"/>
    <mergeCell ref="N84:O84"/>
    <mergeCell ref="P84:Q84"/>
    <mergeCell ref="T86:U86"/>
    <mergeCell ref="V86:W86"/>
    <mergeCell ref="B88:C88"/>
    <mergeCell ref="D88:E88"/>
    <mergeCell ref="H88:I88"/>
    <mergeCell ref="J88:K88"/>
    <mergeCell ref="N88:O88"/>
    <mergeCell ref="P88:Q88"/>
    <mergeCell ref="T88:U88"/>
    <mergeCell ref="V88:W88"/>
    <mergeCell ref="B86:C86"/>
    <mergeCell ref="D86:E86"/>
    <mergeCell ref="H86:I86"/>
    <mergeCell ref="J86:K86"/>
    <mergeCell ref="N86:O86"/>
    <mergeCell ref="P86:Q86"/>
    <mergeCell ref="T92:U92"/>
    <mergeCell ref="V92:W92"/>
    <mergeCell ref="B96:C96"/>
    <mergeCell ref="D96:E96"/>
    <mergeCell ref="H96:I96"/>
    <mergeCell ref="J96:K96"/>
    <mergeCell ref="N96:O96"/>
    <mergeCell ref="P96:Q96"/>
    <mergeCell ref="T96:U96"/>
    <mergeCell ref="V96:W96"/>
    <mergeCell ref="B92:C92"/>
    <mergeCell ref="D92:E92"/>
    <mergeCell ref="H92:I92"/>
    <mergeCell ref="J92:K92"/>
    <mergeCell ref="N92:O92"/>
    <mergeCell ref="P92:Q92"/>
    <mergeCell ref="A99:W99"/>
    <mergeCell ref="A101:W101"/>
    <mergeCell ref="B102:C102"/>
    <mergeCell ref="D102:E102"/>
    <mergeCell ref="F102:F106"/>
    <mergeCell ref="H102:I102"/>
    <mergeCell ref="J102:K102"/>
    <mergeCell ref="N102:O102"/>
    <mergeCell ref="P102:Q102"/>
    <mergeCell ref="T102:U102"/>
    <mergeCell ref="D105:E105"/>
    <mergeCell ref="J105:K105"/>
    <mergeCell ref="P105:Q105"/>
    <mergeCell ref="V105:W105"/>
    <mergeCell ref="D106:E106"/>
    <mergeCell ref="J106:K106"/>
    <mergeCell ref="P106:Q106"/>
    <mergeCell ref="V106:W106"/>
    <mergeCell ref="V102:W102"/>
    <mergeCell ref="D103:E103"/>
    <mergeCell ref="J103:K103"/>
    <mergeCell ref="P103:Q103"/>
    <mergeCell ref="V103:W103"/>
    <mergeCell ref="D104:E104"/>
    <mergeCell ref="J104:K104"/>
    <mergeCell ref="P104:Q104"/>
    <mergeCell ref="V104:W104"/>
    <mergeCell ref="T128:U128"/>
    <mergeCell ref="V128:W128"/>
    <mergeCell ref="D129:E129"/>
    <mergeCell ref="J129:K129"/>
    <mergeCell ref="P129:Q129"/>
    <mergeCell ref="V129:W129"/>
    <mergeCell ref="A107:Q107"/>
    <mergeCell ref="A119:Q119"/>
    <mergeCell ref="A127:W127"/>
    <mergeCell ref="B128:C128"/>
    <mergeCell ref="D128:E128"/>
    <mergeCell ref="F128:F132"/>
    <mergeCell ref="H128:I128"/>
    <mergeCell ref="J128:K128"/>
    <mergeCell ref="N128:O128"/>
    <mergeCell ref="P128:Q128"/>
    <mergeCell ref="D132:E132"/>
    <mergeCell ref="J132:K132"/>
    <mergeCell ref="P132:Q132"/>
    <mergeCell ref="V132:W132"/>
    <mergeCell ref="A133:Q133"/>
    <mergeCell ref="A156:W156"/>
    <mergeCell ref="D130:E130"/>
    <mergeCell ref="J130:K130"/>
    <mergeCell ref="P130:Q130"/>
    <mergeCell ref="V130:W130"/>
    <mergeCell ref="D131:E131"/>
    <mergeCell ref="J131:K131"/>
    <mergeCell ref="P131:Q131"/>
    <mergeCell ref="V131:W131"/>
    <mergeCell ref="B157:C157"/>
    <mergeCell ref="D157:E157"/>
    <mergeCell ref="F157:F161"/>
    <mergeCell ref="H157:I157"/>
    <mergeCell ref="J157:K157"/>
    <mergeCell ref="N157:O157"/>
    <mergeCell ref="D159:E159"/>
    <mergeCell ref="J159:K159"/>
    <mergeCell ref="D161:E161"/>
    <mergeCell ref="J161:K161"/>
    <mergeCell ref="P159:Q159"/>
    <mergeCell ref="V159:W159"/>
    <mergeCell ref="D160:E160"/>
    <mergeCell ref="J160:K160"/>
    <mergeCell ref="P160:Q160"/>
    <mergeCell ref="V160:W160"/>
    <mergeCell ref="P157:Q157"/>
    <mergeCell ref="T157:U157"/>
    <mergeCell ref="V157:W157"/>
    <mergeCell ref="D158:E158"/>
    <mergeCell ref="J158:K158"/>
    <mergeCell ref="P158:Q158"/>
    <mergeCell ref="V158:W158"/>
    <mergeCell ref="A182:W182"/>
    <mergeCell ref="B183:C183"/>
    <mergeCell ref="D183:E183"/>
    <mergeCell ref="F183:F187"/>
    <mergeCell ref="H183:I183"/>
    <mergeCell ref="J183:K183"/>
    <mergeCell ref="N183:O183"/>
    <mergeCell ref="D187:E187"/>
    <mergeCell ref="J187:K187"/>
    <mergeCell ref="P187:Q187"/>
    <mergeCell ref="V187:W187"/>
    <mergeCell ref="A188:Q188"/>
    <mergeCell ref="A7:K7"/>
    <mergeCell ref="M7:W7"/>
    <mergeCell ref="A33:K33"/>
    <mergeCell ref="M33:W33"/>
    <mergeCell ref="A62:K62"/>
    <mergeCell ref="D185:E185"/>
    <mergeCell ref="J185:K185"/>
    <mergeCell ref="P185:Q185"/>
    <mergeCell ref="V185:W185"/>
    <mergeCell ref="D186:E186"/>
    <mergeCell ref="J186:K186"/>
    <mergeCell ref="P186:Q186"/>
    <mergeCell ref="V186:W186"/>
    <mergeCell ref="P183:Q183"/>
    <mergeCell ref="T183:U183"/>
    <mergeCell ref="V183:W183"/>
    <mergeCell ref="D184:E184"/>
    <mergeCell ref="J184:K184"/>
    <mergeCell ref="P184:Q184"/>
    <mergeCell ref="V184:W184"/>
    <mergeCell ref="P161:Q161"/>
    <mergeCell ref="V161:W161"/>
    <mergeCell ref="A162:Q162"/>
  </mergeCells>
  <printOptions horizontalCentered="1"/>
  <pageMargins left="0.11811023622047245" right="0.11811023622047245" top="0.15748031496062992" bottom="0.15748031496062992" header="0.19685039370078741" footer="0.31496062992125984"/>
  <pageSetup paperSize="9" scale="66" fitToHeight="2" orientation="landscape" horizontalDpi="300" verticalDpi="300" r:id="rId1"/>
  <rowBreaks count="1" manualBreakCount="1">
    <brk id="59" max="22" man="1"/>
  </rowBreaks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X206"/>
  <sheetViews>
    <sheetView showGridLines="0" zoomScaleNormal="10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5.570312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5.570312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5.570312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344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811"/>
      <c r="V1" s="812"/>
      <c r="W1" s="813"/>
    </row>
    <row r="2" spans="1:23" ht="24.95" customHeight="1" x14ac:dyDescent="0.25">
      <c r="A2" s="262" t="s">
        <v>169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814"/>
      <c r="V2" s="815"/>
      <c r="W2" s="816"/>
    </row>
    <row r="3" spans="1:23" ht="24.95" customHeight="1" thickBot="1" x14ac:dyDescent="0.3">
      <c r="A3" s="263" t="s">
        <v>341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814"/>
      <c r="V3" s="815"/>
      <c r="W3" s="816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523"/>
      <c r="I4" s="741" t="s">
        <v>54</v>
      </c>
      <c r="J4" s="741"/>
      <c r="K4" s="741"/>
      <c r="L4" s="742">
        <f>(3*J6)+(3*J61)</f>
        <v>4.1666666666666664E-2</v>
      </c>
      <c r="M4" s="742"/>
      <c r="N4" s="264" t="s">
        <v>33</v>
      </c>
      <c r="O4" s="319"/>
      <c r="P4" s="200"/>
      <c r="Q4" s="200"/>
      <c r="R4" s="200"/>
      <c r="S4" s="200"/>
      <c r="T4" s="201"/>
      <c r="U4" s="814"/>
      <c r="V4" s="815"/>
      <c r="W4" s="816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S98-A15+J61</f>
        <v>0.14097222222222186</v>
      </c>
      <c r="F5" s="810"/>
      <c r="G5" s="810"/>
      <c r="H5" s="215"/>
      <c r="I5" s="216" t="s">
        <v>79</v>
      </c>
      <c r="J5" s="216"/>
      <c r="K5" s="216"/>
      <c r="L5" s="687">
        <v>2.2916666666666669E-2</v>
      </c>
      <c r="M5" s="688"/>
      <c r="N5" s="215"/>
      <c r="O5" s="216" t="s">
        <v>242</v>
      </c>
      <c r="P5" s="216"/>
      <c r="Q5" s="216"/>
      <c r="R5" s="687">
        <v>3.472222222222222E-3</v>
      </c>
      <c r="S5" s="688"/>
      <c r="T5" s="320"/>
      <c r="U5" s="817"/>
      <c r="V5" s="818"/>
      <c r="W5" s="819"/>
    </row>
    <row r="6" spans="1:23" ht="21.75" thickBot="1" x14ac:dyDescent="0.4">
      <c r="A6" s="1141" t="s">
        <v>342</v>
      </c>
      <c r="B6" s="1142"/>
      <c r="C6" s="1142"/>
      <c r="D6" s="1142"/>
      <c r="E6" s="1142"/>
      <c r="F6" s="1142"/>
      <c r="G6" s="1142"/>
      <c r="H6" s="1142"/>
      <c r="I6" s="520" t="s">
        <v>18</v>
      </c>
      <c r="J6" s="782">
        <v>6.9444444444444441E-3</v>
      </c>
      <c r="K6" s="782"/>
      <c r="L6" s="782"/>
      <c r="M6" s="527" t="s">
        <v>17</v>
      </c>
      <c r="N6" s="520"/>
      <c r="O6" s="686"/>
      <c r="P6" s="686"/>
      <c r="Q6" s="686"/>
      <c r="R6" s="686"/>
      <c r="S6" s="686"/>
      <c r="T6" s="686"/>
      <c r="U6" s="686"/>
      <c r="V6" s="686"/>
      <c r="W6" s="781"/>
    </row>
    <row r="7" spans="1:23" ht="16.5" thickBot="1" x14ac:dyDescent="0.3">
      <c r="A7" s="780" t="s">
        <v>87</v>
      </c>
      <c r="B7" s="686"/>
      <c r="C7" s="686"/>
      <c r="D7" s="686"/>
      <c r="E7" s="781"/>
      <c r="F7" s="1053"/>
      <c r="G7" s="780" t="s">
        <v>88</v>
      </c>
      <c r="H7" s="686"/>
      <c r="I7" s="686"/>
      <c r="J7" s="686"/>
      <c r="K7" s="781"/>
      <c r="L7" s="567"/>
      <c r="M7" s="780" t="s">
        <v>250</v>
      </c>
      <c r="N7" s="686"/>
      <c r="O7" s="686"/>
      <c r="P7" s="686"/>
      <c r="Q7" s="781"/>
      <c r="R7" s="1053"/>
      <c r="S7" s="780" t="s">
        <v>251</v>
      </c>
      <c r="T7" s="686"/>
      <c r="U7" s="686"/>
      <c r="V7" s="686"/>
      <c r="W7" s="781"/>
    </row>
    <row r="8" spans="1:23" x14ac:dyDescent="0.25">
      <c r="A8" s="6"/>
      <c r="B8" s="744" t="s">
        <v>41</v>
      </c>
      <c r="C8" s="745"/>
      <c r="D8" s="974"/>
      <c r="E8" s="975"/>
      <c r="F8" s="1149"/>
      <c r="G8" s="7"/>
      <c r="H8" s="747" t="s">
        <v>42</v>
      </c>
      <c r="I8" s="748"/>
      <c r="J8" s="980"/>
      <c r="K8" s="981"/>
      <c r="L8" s="85"/>
      <c r="M8" s="8"/>
      <c r="N8" s="804" t="s">
        <v>43</v>
      </c>
      <c r="O8" s="805"/>
      <c r="P8" s="986"/>
      <c r="Q8" s="987"/>
      <c r="R8" s="1149"/>
      <c r="S8" s="9"/>
      <c r="T8" s="807" t="s">
        <v>55</v>
      </c>
      <c r="U8" s="808"/>
      <c r="V8" s="966"/>
      <c r="W8" s="967"/>
    </row>
    <row r="9" spans="1:23" x14ac:dyDescent="0.25">
      <c r="A9" s="10">
        <v>1</v>
      </c>
      <c r="B9" s="731" t="s">
        <v>22</v>
      </c>
      <c r="C9" s="732"/>
      <c r="D9" s="976"/>
      <c r="E9" s="977"/>
      <c r="F9" s="1149"/>
      <c r="G9" s="11">
        <v>1</v>
      </c>
      <c r="H9" s="727" t="s">
        <v>26</v>
      </c>
      <c r="I9" s="728"/>
      <c r="J9" s="982"/>
      <c r="K9" s="983"/>
      <c r="L9" s="85"/>
      <c r="M9" s="12">
        <v>1</v>
      </c>
      <c r="N9" s="800" t="s">
        <v>37</v>
      </c>
      <c r="O9" s="801"/>
      <c r="P9" s="988"/>
      <c r="Q9" s="989"/>
      <c r="R9" s="1149"/>
      <c r="S9" s="13">
        <v>1</v>
      </c>
      <c r="T9" s="796" t="s">
        <v>56</v>
      </c>
      <c r="U9" s="797"/>
      <c r="V9" s="968"/>
      <c r="W9" s="969"/>
    </row>
    <row r="10" spans="1:23" x14ac:dyDescent="0.25">
      <c r="A10" s="10">
        <v>2</v>
      </c>
      <c r="B10" s="731" t="s">
        <v>23</v>
      </c>
      <c r="C10" s="732"/>
      <c r="D10" s="976"/>
      <c r="E10" s="977"/>
      <c r="F10" s="1149"/>
      <c r="G10" s="11">
        <v>2</v>
      </c>
      <c r="H10" s="727" t="s">
        <v>27</v>
      </c>
      <c r="I10" s="728"/>
      <c r="J10" s="982"/>
      <c r="K10" s="983"/>
      <c r="L10" s="85"/>
      <c r="M10" s="12">
        <v>2</v>
      </c>
      <c r="N10" s="800" t="s">
        <v>38</v>
      </c>
      <c r="O10" s="801"/>
      <c r="P10" s="988"/>
      <c r="Q10" s="989"/>
      <c r="R10" s="1149"/>
      <c r="S10" s="13">
        <v>2</v>
      </c>
      <c r="T10" s="796" t="s">
        <v>57</v>
      </c>
      <c r="U10" s="797"/>
      <c r="V10" s="968"/>
      <c r="W10" s="969"/>
    </row>
    <row r="11" spans="1:23" x14ac:dyDescent="0.25">
      <c r="A11" s="10">
        <v>3</v>
      </c>
      <c r="B11" s="731" t="s">
        <v>24</v>
      </c>
      <c r="C11" s="732"/>
      <c r="D11" s="976"/>
      <c r="E11" s="977"/>
      <c r="F11" s="1149"/>
      <c r="G11" s="11">
        <v>3</v>
      </c>
      <c r="H11" s="727" t="s">
        <v>28</v>
      </c>
      <c r="I11" s="728"/>
      <c r="J11" s="982"/>
      <c r="K11" s="983"/>
      <c r="L11" s="85"/>
      <c r="M11" s="12">
        <v>3</v>
      </c>
      <c r="N11" s="800" t="s">
        <v>39</v>
      </c>
      <c r="O11" s="801"/>
      <c r="P11" s="988"/>
      <c r="Q11" s="989"/>
      <c r="R11" s="1149"/>
      <c r="S11" s="13">
        <v>3</v>
      </c>
      <c r="T11" s="796" t="s">
        <v>58</v>
      </c>
      <c r="U11" s="797"/>
      <c r="V11" s="968"/>
      <c r="W11" s="969"/>
    </row>
    <row r="12" spans="1:23" ht="15.75" thickBot="1" x14ac:dyDescent="0.3">
      <c r="A12" s="15">
        <v>4</v>
      </c>
      <c r="B12" s="717" t="s">
        <v>25</v>
      </c>
      <c r="C12" s="718"/>
      <c r="D12" s="978"/>
      <c r="E12" s="979"/>
      <c r="F12" s="1149"/>
      <c r="G12" s="16">
        <v>4</v>
      </c>
      <c r="H12" s="721" t="s">
        <v>29</v>
      </c>
      <c r="I12" s="722"/>
      <c r="J12" s="984"/>
      <c r="K12" s="985"/>
      <c r="L12" s="85"/>
      <c r="M12" s="17">
        <v>4</v>
      </c>
      <c r="N12" s="792" t="s">
        <v>40</v>
      </c>
      <c r="O12" s="793"/>
      <c r="P12" s="990"/>
      <c r="Q12" s="991"/>
      <c r="R12" s="1149"/>
      <c r="S12" s="18">
        <v>4</v>
      </c>
      <c r="T12" s="788" t="s">
        <v>59</v>
      </c>
      <c r="U12" s="789"/>
      <c r="V12" s="970"/>
      <c r="W12" s="971"/>
    </row>
    <row r="13" spans="1:23" ht="5.0999999999999996" customHeight="1" thickBot="1" x14ac:dyDescent="0.3">
      <c r="A13" s="19"/>
      <c r="B13" s="2"/>
      <c r="C13" s="2"/>
      <c r="D13" s="2"/>
      <c r="E13" s="21"/>
      <c r="F13" s="1149"/>
      <c r="G13" s="19"/>
      <c r="H13" s="2"/>
      <c r="I13" s="22"/>
      <c r="J13" s="2"/>
      <c r="K13" s="21"/>
      <c r="L13" s="85"/>
      <c r="M13" s="19"/>
      <c r="N13" s="2"/>
      <c r="O13" s="2"/>
      <c r="P13" s="2"/>
      <c r="Q13" s="21"/>
      <c r="R13" s="1149"/>
      <c r="S13" s="19"/>
      <c r="T13" s="2"/>
      <c r="U13" s="2"/>
      <c r="V13" s="2"/>
      <c r="W13" s="21"/>
    </row>
    <row r="14" spans="1:23" s="29" customFormat="1" x14ac:dyDescent="0.25">
      <c r="A14" s="24"/>
      <c r="B14" s="713" t="s">
        <v>5</v>
      </c>
      <c r="C14" s="713"/>
      <c r="D14" s="950"/>
      <c r="E14" s="951"/>
      <c r="F14" s="1149"/>
      <c r="G14" s="26"/>
      <c r="H14" s="715" t="s">
        <v>5</v>
      </c>
      <c r="I14" s="715"/>
      <c r="J14" s="954"/>
      <c r="K14" s="955"/>
      <c r="L14" s="99"/>
      <c r="M14" s="27"/>
      <c r="N14" s="786" t="s">
        <v>5</v>
      </c>
      <c r="O14" s="786"/>
      <c r="P14" s="960"/>
      <c r="Q14" s="961"/>
      <c r="R14" s="1149"/>
      <c r="S14" s="28"/>
      <c r="T14" s="784" t="s">
        <v>5</v>
      </c>
      <c r="U14" s="784"/>
      <c r="V14" s="941"/>
      <c r="W14" s="942"/>
    </row>
    <row r="15" spans="1:23" x14ac:dyDescent="0.25">
      <c r="A15" s="30">
        <f>E4</f>
        <v>0.375</v>
      </c>
      <c r="B15" s="31" t="str">
        <f>B9</f>
        <v>Equipe 1</v>
      </c>
      <c r="C15" s="31" t="str">
        <f>B10</f>
        <v>Equipe 2</v>
      </c>
      <c r="D15" s="952"/>
      <c r="E15" s="953"/>
      <c r="F15" s="1149"/>
      <c r="G15" s="32">
        <f>A15</f>
        <v>0.375</v>
      </c>
      <c r="H15" s="33" t="str">
        <f>H9</f>
        <v>Equipe 5</v>
      </c>
      <c r="I15" s="33" t="str">
        <f>H10</f>
        <v>Equipe 6</v>
      </c>
      <c r="J15" s="956"/>
      <c r="K15" s="957"/>
      <c r="L15" s="85"/>
      <c r="M15" s="34">
        <f>E4</f>
        <v>0.375</v>
      </c>
      <c r="N15" s="35" t="str">
        <f>N9</f>
        <v>Equipe 9</v>
      </c>
      <c r="O15" s="35" t="str">
        <f>N10</f>
        <v>Equipe 10</v>
      </c>
      <c r="P15" s="962"/>
      <c r="Q15" s="963"/>
      <c r="R15" s="1149"/>
      <c r="S15" s="36">
        <f>M15</f>
        <v>0.375</v>
      </c>
      <c r="T15" s="37" t="str">
        <f>T9</f>
        <v>Equipe 13</v>
      </c>
      <c r="U15" s="37" t="str">
        <f>T10</f>
        <v>Equipe 14</v>
      </c>
      <c r="V15" s="943"/>
      <c r="W15" s="944"/>
    </row>
    <row r="16" spans="1:23" ht="15.75" thickBot="1" x14ac:dyDescent="0.3">
      <c r="A16" s="38">
        <f>A15+$J$6+R5</f>
        <v>0.38541666666666663</v>
      </c>
      <c r="B16" s="39" t="str">
        <f>B11</f>
        <v>Equipe 3</v>
      </c>
      <c r="C16" s="39" t="str">
        <f>B12</f>
        <v>Equipe 4</v>
      </c>
      <c r="D16" s="972"/>
      <c r="E16" s="973"/>
      <c r="F16" s="1149"/>
      <c r="G16" s="40">
        <f>A16</f>
        <v>0.38541666666666663</v>
      </c>
      <c r="H16" s="41" t="str">
        <f>H11</f>
        <v>Equipe 7</v>
      </c>
      <c r="I16" s="41" t="str">
        <f>H12</f>
        <v>Equipe 8</v>
      </c>
      <c r="J16" s="958"/>
      <c r="K16" s="959"/>
      <c r="L16" s="85"/>
      <c r="M16" s="42">
        <f>M15+$J$6+R5</f>
        <v>0.38541666666666663</v>
      </c>
      <c r="N16" s="43" t="str">
        <f>N11</f>
        <v>Equipe 11</v>
      </c>
      <c r="O16" s="43" t="str">
        <f>N12</f>
        <v>Equipe 12</v>
      </c>
      <c r="P16" s="964"/>
      <c r="Q16" s="965"/>
      <c r="R16" s="1149"/>
      <c r="S16" s="44">
        <f>S15+$J$6+R5</f>
        <v>0.38541666666666663</v>
      </c>
      <c r="T16" s="45" t="str">
        <f>T11</f>
        <v>Equipe 15</v>
      </c>
      <c r="U16" s="45" t="str">
        <f>T12</f>
        <v>Equipe 16</v>
      </c>
      <c r="V16" s="945"/>
      <c r="W16" s="946"/>
    </row>
    <row r="17" spans="1:23" ht="5.0999999999999996" customHeight="1" thickBot="1" x14ac:dyDescent="0.3">
      <c r="A17" s="19"/>
      <c r="B17" s="2"/>
      <c r="C17" s="2"/>
      <c r="D17" s="521"/>
      <c r="E17" s="522"/>
      <c r="F17" s="1149"/>
      <c r="G17" s="19"/>
      <c r="H17" s="2"/>
      <c r="I17" s="47"/>
      <c r="J17" s="521"/>
      <c r="K17" s="522"/>
      <c r="L17" s="85"/>
      <c r="M17" s="19"/>
      <c r="N17" s="2"/>
      <c r="O17" s="2"/>
      <c r="P17" s="521"/>
      <c r="Q17" s="522"/>
      <c r="R17" s="1149"/>
      <c r="S17" s="19"/>
      <c r="T17" s="2"/>
      <c r="U17" s="2"/>
      <c r="V17" s="521"/>
      <c r="W17" s="522"/>
    </row>
    <row r="18" spans="1:23" s="29" customFormat="1" x14ac:dyDescent="0.25">
      <c r="A18" s="24"/>
      <c r="B18" s="713" t="s">
        <v>6</v>
      </c>
      <c r="C18" s="713"/>
      <c r="D18" s="950"/>
      <c r="E18" s="951"/>
      <c r="F18" s="1149"/>
      <c r="G18" s="26"/>
      <c r="H18" s="715" t="s">
        <v>6</v>
      </c>
      <c r="I18" s="715"/>
      <c r="J18" s="954"/>
      <c r="K18" s="955"/>
      <c r="L18" s="99"/>
      <c r="M18" s="27"/>
      <c r="N18" s="786" t="s">
        <v>6</v>
      </c>
      <c r="O18" s="786"/>
      <c r="P18" s="960"/>
      <c r="Q18" s="961"/>
      <c r="R18" s="1149"/>
      <c r="S18" s="28"/>
      <c r="T18" s="784" t="s">
        <v>6</v>
      </c>
      <c r="U18" s="784"/>
      <c r="V18" s="941"/>
      <c r="W18" s="942"/>
    </row>
    <row r="19" spans="1:23" x14ac:dyDescent="0.25">
      <c r="A19" s="30">
        <f>S16+$J$6+R5</f>
        <v>0.39583333333333326</v>
      </c>
      <c r="B19" s="31" t="str">
        <f>B9</f>
        <v>Equipe 1</v>
      </c>
      <c r="C19" s="31" t="str">
        <f>B11</f>
        <v>Equipe 3</v>
      </c>
      <c r="D19" s="952"/>
      <c r="E19" s="953"/>
      <c r="F19" s="1149"/>
      <c r="G19" s="32">
        <f>A19</f>
        <v>0.39583333333333326</v>
      </c>
      <c r="H19" s="33" t="str">
        <f>H9</f>
        <v>Equipe 5</v>
      </c>
      <c r="I19" s="33" t="str">
        <f>H11</f>
        <v>Equipe 7</v>
      </c>
      <c r="J19" s="956"/>
      <c r="K19" s="957"/>
      <c r="L19" s="85"/>
      <c r="M19" s="34">
        <f>S16+$J$6+R5</f>
        <v>0.39583333333333326</v>
      </c>
      <c r="N19" s="35" t="str">
        <f>N9</f>
        <v>Equipe 9</v>
      </c>
      <c r="O19" s="35" t="str">
        <f>N11</f>
        <v>Equipe 11</v>
      </c>
      <c r="P19" s="962"/>
      <c r="Q19" s="963"/>
      <c r="R19" s="1149"/>
      <c r="S19" s="36">
        <f>M19</f>
        <v>0.39583333333333326</v>
      </c>
      <c r="T19" s="37" t="str">
        <f>T9</f>
        <v>Equipe 13</v>
      </c>
      <c r="U19" s="37" t="str">
        <f>T11</f>
        <v>Equipe 15</v>
      </c>
      <c r="V19" s="943"/>
      <c r="W19" s="944"/>
    </row>
    <row r="20" spans="1:23" ht="15.75" thickBot="1" x14ac:dyDescent="0.3">
      <c r="A20" s="38">
        <f>A19+$J$6+R5</f>
        <v>0.40624999999999989</v>
      </c>
      <c r="B20" s="39" t="str">
        <f>B10</f>
        <v>Equipe 2</v>
      </c>
      <c r="C20" s="39" t="str">
        <f>B12</f>
        <v>Equipe 4</v>
      </c>
      <c r="D20" s="972"/>
      <c r="E20" s="973"/>
      <c r="F20" s="1149"/>
      <c r="G20" s="32">
        <f>A20</f>
        <v>0.40624999999999989</v>
      </c>
      <c r="H20" s="41" t="str">
        <f>H10</f>
        <v>Equipe 6</v>
      </c>
      <c r="I20" s="41" t="str">
        <f>H12</f>
        <v>Equipe 8</v>
      </c>
      <c r="J20" s="958"/>
      <c r="K20" s="959"/>
      <c r="L20" s="85"/>
      <c r="M20" s="42">
        <f>M19+$J$6+R5</f>
        <v>0.40624999999999989</v>
      </c>
      <c r="N20" s="43" t="str">
        <f>N10</f>
        <v>Equipe 10</v>
      </c>
      <c r="O20" s="43" t="str">
        <f>N12</f>
        <v>Equipe 12</v>
      </c>
      <c r="P20" s="964"/>
      <c r="Q20" s="965"/>
      <c r="R20" s="1149"/>
      <c r="S20" s="44">
        <f>S19+$J$6+R5</f>
        <v>0.40624999999999989</v>
      </c>
      <c r="T20" s="45" t="str">
        <f>T10</f>
        <v>Equipe 14</v>
      </c>
      <c r="U20" s="45" t="str">
        <f>T12</f>
        <v>Equipe 16</v>
      </c>
      <c r="V20" s="945"/>
      <c r="W20" s="946"/>
    </row>
    <row r="21" spans="1:23" ht="5.0999999999999996" customHeight="1" thickBot="1" x14ac:dyDescent="0.3">
      <c r="A21" s="19"/>
      <c r="B21" s="2"/>
      <c r="C21" s="2"/>
      <c r="D21" s="521"/>
      <c r="E21" s="522"/>
      <c r="F21" s="1149"/>
      <c r="G21" s="19"/>
      <c r="H21" s="2"/>
      <c r="I21" s="47"/>
      <c r="J21" s="521"/>
      <c r="K21" s="522"/>
      <c r="L21" s="85"/>
      <c r="M21" s="19"/>
      <c r="N21" s="2"/>
      <c r="O21" s="2"/>
      <c r="P21" s="521"/>
      <c r="Q21" s="522"/>
      <c r="R21" s="1149"/>
      <c r="S21" s="19"/>
      <c r="T21" s="2"/>
      <c r="U21" s="2"/>
      <c r="V21" s="521"/>
      <c r="W21" s="522"/>
    </row>
    <row r="22" spans="1:23" s="29" customFormat="1" x14ac:dyDescent="0.25">
      <c r="A22" s="24"/>
      <c r="B22" s="713" t="s">
        <v>7</v>
      </c>
      <c r="C22" s="713"/>
      <c r="D22" s="950"/>
      <c r="E22" s="951"/>
      <c r="F22" s="1149"/>
      <c r="G22" s="26"/>
      <c r="H22" s="715" t="s">
        <v>7</v>
      </c>
      <c r="I22" s="715"/>
      <c r="J22" s="954"/>
      <c r="K22" s="955"/>
      <c r="L22" s="99"/>
      <c r="M22" s="27"/>
      <c r="N22" s="786" t="s">
        <v>7</v>
      </c>
      <c r="O22" s="786"/>
      <c r="P22" s="960"/>
      <c r="Q22" s="961"/>
      <c r="R22" s="1149"/>
      <c r="S22" s="28"/>
      <c r="T22" s="784" t="s">
        <v>7</v>
      </c>
      <c r="U22" s="784"/>
      <c r="V22" s="941"/>
      <c r="W22" s="942"/>
    </row>
    <row r="23" spans="1:23" x14ac:dyDescent="0.25">
      <c r="A23" s="30">
        <f>G20+$J$6+R5</f>
        <v>0.41666666666666652</v>
      </c>
      <c r="B23" s="31" t="str">
        <f>B9</f>
        <v>Equipe 1</v>
      </c>
      <c r="C23" s="31" t="str">
        <f>B12</f>
        <v>Equipe 4</v>
      </c>
      <c r="D23" s="952"/>
      <c r="E23" s="953"/>
      <c r="F23" s="1149"/>
      <c r="G23" s="32">
        <f>A23</f>
        <v>0.41666666666666652</v>
      </c>
      <c r="H23" s="33" t="str">
        <f>H9</f>
        <v>Equipe 5</v>
      </c>
      <c r="I23" s="33" t="str">
        <f>H12</f>
        <v>Equipe 8</v>
      </c>
      <c r="J23" s="956"/>
      <c r="K23" s="957"/>
      <c r="L23" s="85"/>
      <c r="M23" s="34">
        <f>A23</f>
        <v>0.41666666666666652</v>
      </c>
      <c r="N23" s="35" t="str">
        <f>N9</f>
        <v>Equipe 9</v>
      </c>
      <c r="O23" s="35" t="str">
        <f>N12</f>
        <v>Equipe 12</v>
      </c>
      <c r="P23" s="962"/>
      <c r="Q23" s="963"/>
      <c r="R23" s="1149"/>
      <c r="S23" s="36">
        <f>M23</f>
        <v>0.41666666666666652</v>
      </c>
      <c r="T23" s="37" t="str">
        <f>T9</f>
        <v>Equipe 13</v>
      </c>
      <c r="U23" s="37" t="str">
        <f>T12</f>
        <v>Equipe 16</v>
      </c>
      <c r="V23" s="943"/>
      <c r="W23" s="944"/>
    </row>
    <row r="24" spans="1:23" ht="15.75" thickBot="1" x14ac:dyDescent="0.3">
      <c r="A24" s="38">
        <f>A23+$J$6+R5</f>
        <v>0.42708333333333315</v>
      </c>
      <c r="B24" s="39" t="str">
        <f>B10</f>
        <v>Equipe 2</v>
      </c>
      <c r="C24" s="39" t="str">
        <f>B11</f>
        <v>Equipe 3</v>
      </c>
      <c r="D24" s="972"/>
      <c r="E24" s="973"/>
      <c r="F24" s="1149"/>
      <c r="G24" s="40">
        <f>A24</f>
        <v>0.42708333333333315</v>
      </c>
      <c r="H24" s="41" t="str">
        <f>H10</f>
        <v>Equipe 6</v>
      </c>
      <c r="I24" s="41" t="str">
        <f>H11</f>
        <v>Equipe 7</v>
      </c>
      <c r="J24" s="958"/>
      <c r="K24" s="959"/>
      <c r="L24" s="85"/>
      <c r="M24" s="42">
        <f>M23+$J$6+R5</f>
        <v>0.42708333333333315</v>
      </c>
      <c r="N24" s="43" t="str">
        <f>N10</f>
        <v>Equipe 10</v>
      </c>
      <c r="O24" s="43" t="str">
        <f>N11</f>
        <v>Equipe 11</v>
      </c>
      <c r="P24" s="964"/>
      <c r="Q24" s="965"/>
      <c r="R24" s="1149"/>
      <c r="S24" s="44">
        <f>S23+$J$6+R5</f>
        <v>0.42708333333333315</v>
      </c>
      <c r="T24" s="45" t="str">
        <f>T10</f>
        <v>Equipe 14</v>
      </c>
      <c r="U24" s="45" t="str">
        <f>T11</f>
        <v>Equipe 15</v>
      </c>
      <c r="V24" s="945"/>
      <c r="W24" s="946"/>
    </row>
    <row r="25" spans="1:23" ht="12" customHeight="1" thickBot="1" x14ac:dyDescent="0.3">
      <c r="A25" s="118"/>
      <c r="B25" s="119"/>
      <c r="C25" s="119"/>
      <c r="D25" s="173"/>
      <c r="E25" s="173"/>
      <c r="F25" s="85"/>
      <c r="G25" s="120"/>
      <c r="H25" s="119"/>
      <c r="I25" s="119"/>
      <c r="J25" s="173"/>
      <c r="K25" s="173"/>
      <c r="L25" s="85"/>
      <c r="M25" s="120"/>
      <c r="N25" s="119"/>
      <c r="O25" s="119"/>
      <c r="P25" s="173"/>
      <c r="Q25" s="173"/>
      <c r="R25" s="85"/>
      <c r="S25" s="532"/>
      <c r="T25" s="530"/>
      <c r="U25" s="530"/>
      <c r="V25" s="116"/>
      <c r="W25" s="117"/>
    </row>
    <row r="26" spans="1:23" ht="16.5" hidden="1" thickBot="1" x14ac:dyDescent="0.3">
      <c r="A26" s="783" t="s">
        <v>60</v>
      </c>
      <c r="B26" s="762"/>
      <c r="C26" s="762"/>
      <c r="D26" s="762"/>
      <c r="E26" s="762"/>
      <c r="F26" s="1187"/>
      <c r="G26" s="762"/>
      <c r="H26" s="762"/>
      <c r="I26" s="762"/>
      <c r="J26" s="762"/>
      <c r="K26" s="762"/>
      <c r="L26" s="1187"/>
      <c r="M26" s="762"/>
      <c r="N26" s="762"/>
      <c r="O26" s="762"/>
      <c r="P26" s="762"/>
      <c r="Q26" s="762"/>
      <c r="R26" s="1187"/>
      <c r="S26" s="762"/>
      <c r="T26" s="762"/>
      <c r="U26" s="762"/>
      <c r="V26" s="762"/>
      <c r="W26" s="763"/>
    </row>
    <row r="27" spans="1:23" hidden="1" x14ac:dyDescent="0.25">
      <c r="A27" s="81" t="s">
        <v>21</v>
      </c>
      <c r="B27" s="711" t="s">
        <v>41</v>
      </c>
      <c r="C27" s="711"/>
      <c r="D27" s="711" t="s">
        <v>15</v>
      </c>
      <c r="E27" s="712"/>
      <c r="F27" s="122"/>
      <c r="G27" s="81" t="s">
        <v>21</v>
      </c>
      <c r="H27" s="711" t="s">
        <v>42</v>
      </c>
      <c r="I27" s="711"/>
      <c r="J27" s="711" t="s">
        <v>15</v>
      </c>
      <c r="K27" s="712"/>
      <c r="L27" s="75"/>
      <c r="M27" s="81" t="s">
        <v>21</v>
      </c>
      <c r="N27" s="711" t="s">
        <v>43</v>
      </c>
      <c r="O27" s="711"/>
      <c r="P27" s="711" t="s">
        <v>15</v>
      </c>
      <c r="Q27" s="712"/>
      <c r="R27" s="122"/>
      <c r="S27" s="81" t="s">
        <v>21</v>
      </c>
      <c r="T27" s="711" t="s">
        <v>55</v>
      </c>
      <c r="U27" s="711"/>
      <c r="V27" s="711" t="s">
        <v>15</v>
      </c>
      <c r="W27" s="712"/>
    </row>
    <row r="28" spans="1:23" hidden="1" x14ac:dyDescent="0.25">
      <c r="A28" s="49">
        <v>1</v>
      </c>
      <c r="B28" s="680" t="str">
        <f>VLOOKUP($A28,$A$103:$D$106,2,FALSE)</f>
        <v>Equipe 1</v>
      </c>
      <c r="C28" s="680"/>
      <c r="D28" s="683">
        <f>VLOOKUP($A28,$A$103:$D$106,4,FALSE)</f>
        <v>3.9999999999999998E-7</v>
      </c>
      <c r="E28" s="684"/>
      <c r="F28" s="105"/>
      <c r="G28" s="49">
        <v>1</v>
      </c>
      <c r="H28" s="680" t="str">
        <f>VLOOKUP($G28,$G$103:$J$106,2,FALSE)</f>
        <v>Equipe 5</v>
      </c>
      <c r="I28" s="680"/>
      <c r="J28" s="681">
        <f>VLOOKUP($G28,$G$103:$J$106,4,FALSE)</f>
        <v>3.9999999999999998E-7</v>
      </c>
      <c r="K28" s="682"/>
      <c r="L28" s="76"/>
      <c r="M28" s="49">
        <v>1</v>
      </c>
      <c r="N28" s="680" t="str">
        <f>VLOOKUP($M28,$M$103:$P$106,2,FALSE)</f>
        <v>Equipe 9</v>
      </c>
      <c r="O28" s="680"/>
      <c r="P28" s="681">
        <f>VLOOKUP($M28,$M$103:$P$106,4,FALSE)</f>
        <v>3.9999999999999998E-7</v>
      </c>
      <c r="Q28" s="682"/>
      <c r="R28" s="105"/>
      <c r="S28" s="49">
        <v>1</v>
      </c>
      <c r="T28" s="680" t="str">
        <f>VLOOKUP($S28,$S$103:$V$106,2,FALSE)</f>
        <v>Equipe 13</v>
      </c>
      <c r="U28" s="680"/>
      <c r="V28" s="681">
        <f>VLOOKUP($S28,$S$103:$V$106,4,FALSE)</f>
        <v>3.9999999999999998E-7</v>
      </c>
      <c r="W28" s="682"/>
    </row>
    <row r="29" spans="1:23" hidden="1" x14ac:dyDescent="0.25">
      <c r="A29" s="49">
        <v>2</v>
      </c>
      <c r="B29" s="680" t="str">
        <f>VLOOKUP($A29,$A$103:$D$106,2,FALSE)</f>
        <v>Equipe 2</v>
      </c>
      <c r="C29" s="680"/>
      <c r="D29" s="683">
        <f>VLOOKUP($A29,$A$103:$D$106,4,FALSE)</f>
        <v>2.9999999999999999E-7</v>
      </c>
      <c r="E29" s="684"/>
      <c r="F29" s="105"/>
      <c r="G29" s="49">
        <v>2</v>
      </c>
      <c r="H29" s="680" t="str">
        <f>VLOOKUP($G29,$G$103:$J$106,2,FALSE)</f>
        <v>Equipe 6</v>
      </c>
      <c r="I29" s="680"/>
      <c r="J29" s="681">
        <f>VLOOKUP($G29,$G$103:$J$106,4,FALSE)</f>
        <v>2.9999999999999999E-7</v>
      </c>
      <c r="K29" s="682"/>
      <c r="L29" s="76"/>
      <c r="M29" s="49">
        <v>2</v>
      </c>
      <c r="N29" s="680" t="str">
        <f>VLOOKUP($M29,$M$103:$P$106,2,FALSE)</f>
        <v>Equipe 10</v>
      </c>
      <c r="O29" s="680"/>
      <c r="P29" s="681">
        <f>VLOOKUP($M29,$M$103:$P$106,4,FALSE)</f>
        <v>2.9999999999999999E-7</v>
      </c>
      <c r="Q29" s="682"/>
      <c r="R29" s="105"/>
      <c r="S29" s="49">
        <v>2</v>
      </c>
      <c r="T29" s="680" t="str">
        <f>VLOOKUP($S29,$S$103:$V$106,2,FALSE)</f>
        <v>Equipe 14</v>
      </c>
      <c r="U29" s="680"/>
      <c r="V29" s="681">
        <f>VLOOKUP($S29,$S$103:$V$106,4,FALSE)</f>
        <v>2.9999999999999999E-7</v>
      </c>
      <c r="W29" s="682"/>
    </row>
    <row r="30" spans="1:23" hidden="1" x14ac:dyDescent="0.25">
      <c r="A30" s="49">
        <v>3</v>
      </c>
      <c r="B30" s="680" t="str">
        <f>VLOOKUP($A30,$A$103:$D$106,2,FALSE)</f>
        <v>Equipe 3</v>
      </c>
      <c r="C30" s="680"/>
      <c r="D30" s="683">
        <f>VLOOKUP($A30,$A$103:$D$106,4,FALSE)</f>
        <v>1.9999999999999999E-7</v>
      </c>
      <c r="E30" s="684"/>
      <c r="F30" s="105"/>
      <c r="G30" s="49">
        <v>3</v>
      </c>
      <c r="H30" s="680" t="str">
        <f>VLOOKUP($G30,$G$103:$J$106,2,FALSE)</f>
        <v>Equipe 7</v>
      </c>
      <c r="I30" s="680"/>
      <c r="J30" s="681">
        <f>VLOOKUP($G30,$G$103:$J$106,4,FALSE)</f>
        <v>1.9999999999999999E-7</v>
      </c>
      <c r="K30" s="682"/>
      <c r="L30" s="76"/>
      <c r="M30" s="49">
        <v>3</v>
      </c>
      <c r="N30" s="680" t="str">
        <f>VLOOKUP($M30,$M$103:$P$106,2,FALSE)</f>
        <v>Equipe 11</v>
      </c>
      <c r="O30" s="680"/>
      <c r="P30" s="681">
        <f>VLOOKUP($M30,$M$103:$P$106,4,FALSE)</f>
        <v>1.9999999999999999E-7</v>
      </c>
      <c r="Q30" s="682"/>
      <c r="R30" s="105"/>
      <c r="S30" s="49">
        <v>3</v>
      </c>
      <c r="T30" s="680" t="str">
        <f>VLOOKUP($S30,$S$103:$V$106,2,FALSE)</f>
        <v>Equipe 15</v>
      </c>
      <c r="U30" s="680"/>
      <c r="V30" s="681">
        <f>VLOOKUP($S30,$S$103:$V$106,4,FALSE)</f>
        <v>1.9999999999999999E-7</v>
      </c>
      <c r="W30" s="682"/>
    </row>
    <row r="31" spans="1:23" ht="15.75" hidden="1" thickBot="1" x14ac:dyDescent="0.3">
      <c r="A31" s="50">
        <v>4</v>
      </c>
      <c r="B31" s="706" t="str">
        <f>VLOOKUP($A31,$A$103:$D$106,2,FALSE)</f>
        <v>Equipe 4</v>
      </c>
      <c r="C31" s="706"/>
      <c r="D31" s="707">
        <f>VLOOKUP($A31,$A$103:$D$106,4,FALSE)</f>
        <v>9.9999999999999995E-8</v>
      </c>
      <c r="E31" s="708"/>
      <c r="F31" s="123"/>
      <c r="G31" s="50">
        <v>4</v>
      </c>
      <c r="H31" s="706" t="str">
        <f>VLOOKUP($G31,$G$103:$J$106,2,FALSE)</f>
        <v>Equipe 8</v>
      </c>
      <c r="I31" s="706"/>
      <c r="J31" s="709">
        <f>VLOOKUP($G31,$G$103:$J$106,4,FALSE)</f>
        <v>9.9999999999999995E-8</v>
      </c>
      <c r="K31" s="710"/>
      <c r="L31" s="78"/>
      <c r="M31" s="50">
        <v>4</v>
      </c>
      <c r="N31" s="706" t="str">
        <f>VLOOKUP($M31,$M$103:$P$106,2,FALSE)</f>
        <v>Equipe 12</v>
      </c>
      <c r="O31" s="706"/>
      <c r="P31" s="709">
        <f>VLOOKUP($M31,$M$103:$P$106,4,FALSE)</f>
        <v>9.9999999999999995E-8</v>
      </c>
      <c r="Q31" s="710"/>
      <c r="R31" s="123"/>
      <c r="S31" s="50">
        <v>4</v>
      </c>
      <c r="T31" s="706" t="str">
        <f>VLOOKUP($S31,$S$103:$V$106,2,FALSE)</f>
        <v>Equipe 16</v>
      </c>
      <c r="U31" s="706"/>
      <c r="V31" s="709">
        <f>VLOOKUP($S31,$S$103:$V$106,4,FALSE)</f>
        <v>9.9999999999999995E-8</v>
      </c>
      <c r="W31" s="710"/>
    </row>
    <row r="32" spans="1:23" ht="15.75" hidden="1" thickBot="1" x14ac:dyDescent="0.3">
      <c r="A32" s="703" t="s">
        <v>34</v>
      </c>
      <c r="B32" s="704"/>
      <c r="C32" s="704"/>
      <c r="D32" s="704"/>
      <c r="E32" s="704"/>
      <c r="F32" s="1186"/>
      <c r="G32" s="704"/>
      <c r="H32" s="704"/>
      <c r="I32" s="704"/>
      <c r="J32" s="704"/>
      <c r="K32" s="704"/>
      <c r="L32" s="1186"/>
      <c r="M32" s="704"/>
      <c r="N32" s="704"/>
      <c r="O32" s="704"/>
      <c r="P32" s="704"/>
      <c r="Q32" s="704"/>
      <c r="R32" s="1186"/>
      <c r="S32" s="704"/>
      <c r="T32" s="704"/>
      <c r="U32" s="704"/>
      <c r="V32" s="704"/>
      <c r="W32" s="705"/>
    </row>
    <row r="33" spans="1:24" ht="16.5" thickBot="1" x14ac:dyDescent="0.3">
      <c r="A33" s="780" t="s">
        <v>323</v>
      </c>
      <c r="B33" s="686"/>
      <c r="C33" s="686"/>
      <c r="D33" s="686"/>
      <c r="E33" s="781"/>
      <c r="F33" s="1144"/>
      <c r="G33" s="780" t="s">
        <v>324</v>
      </c>
      <c r="H33" s="686"/>
      <c r="I33" s="686"/>
      <c r="J33" s="686"/>
      <c r="K33" s="781"/>
      <c r="L33" s="1138"/>
      <c r="M33" s="780" t="s">
        <v>325</v>
      </c>
      <c r="N33" s="686"/>
      <c r="O33" s="686"/>
      <c r="P33" s="686"/>
      <c r="Q33" s="781"/>
      <c r="R33" s="1144"/>
      <c r="S33" s="780" t="s">
        <v>326</v>
      </c>
      <c r="T33" s="686"/>
      <c r="U33" s="686"/>
      <c r="V33" s="686"/>
      <c r="W33" s="781"/>
    </row>
    <row r="34" spans="1:24" ht="24.95" customHeight="1" x14ac:dyDescent="0.25">
      <c r="A34" s="83"/>
      <c r="B34" s="850" t="s">
        <v>91</v>
      </c>
      <c r="C34" s="938"/>
      <c r="D34" s="966"/>
      <c r="E34" s="967"/>
      <c r="F34" s="1144"/>
      <c r="G34" s="97"/>
      <c r="H34" s="852" t="s">
        <v>92</v>
      </c>
      <c r="I34" s="937"/>
      <c r="J34" s="986"/>
      <c r="K34" s="987"/>
      <c r="L34" s="1138"/>
      <c r="M34" s="611"/>
      <c r="N34" s="1184" t="s">
        <v>264</v>
      </c>
      <c r="O34" s="1185"/>
      <c r="P34" s="1178"/>
      <c r="Q34" s="1179"/>
      <c r="R34" s="1144"/>
      <c r="S34" s="125"/>
      <c r="T34" s="912" t="s">
        <v>265</v>
      </c>
      <c r="U34" s="935"/>
      <c r="V34" s="974"/>
      <c r="W34" s="975"/>
    </row>
    <row r="35" spans="1:24" ht="16.350000000000001" customHeight="1" x14ac:dyDescent="0.25">
      <c r="A35" s="13">
        <v>1</v>
      </c>
      <c r="B35" s="796" t="s">
        <v>93</v>
      </c>
      <c r="C35" s="797"/>
      <c r="D35" s="968"/>
      <c r="E35" s="969"/>
      <c r="F35" s="1144"/>
      <c r="G35" s="12">
        <v>1</v>
      </c>
      <c r="H35" s="800" t="s">
        <v>97</v>
      </c>
      <c r="I35" s="801"/>
      <c r="J35" s="988"/>
      <c r="K35" s="989"/>
      <c r="L35" s="1138"/>
      <c r="M35" s="564">
        <v>1</v>
      </c>
      <c r="N35" s="1176" t="s">
        <v>266</v>
      </c>
      <c r="O35" s="1177"/>
      <c r="P35" s="1180"/>
      <c r="Q35" s="1181"/>
      <c r="R35" s="1144"/>
      <c r="S35" s="10">
        <v>1</v>
      </c>
      <c r="T35" s="731" t="s">
        <v>270</v>
      </c>
      <c r="U35" s="732"/>
      <c r="V35" s="976"/>
      <c r="W35" s="977"/>
      <c r="X35" s="74"/>
    </row>
    <row r="36" spans="1:24" ht="16.350000000000001" customHeight="1" x14ac:dyDescent="0.25">
      <c r="A36" s="13">
        <v>2</v>
      </c>
      <c r="B36" s="796" t="s">
        <v>94</v>
      </c>
      <c r="C36" s="797"/>
      <c r="D36" s="968"/>
      <c r="E36" s="969"/>
      <c r="F36" s="1144"/>
      <c r="G36" s="12">
        <v>2</v>
      </c>
      <c r="H36" s="800" t="s">
        <v>98</v>
      </c>
      <c r="I36" s="801"/>
      <c r="J36" s="988"/>
      <c r="K36" s="989"/>
      <c r="L36" s="1138"/>
      <c r="M36" s="564">
        <v>2</v>
      </c>
      <c r="N36" s="1176" t="s">
        <v>267</v>
      </c>
      <c r="O36" s="1177"/>
      <c r="P36" s="1180"/>
      <c r="Q36" s="1181"/>
      <c r="R36" s="1144"/>
      <c r="S36" s="10">
        <v>2</v>
      </c>
      <c r="T36" s="731" t="s">
        <v>271</v>
      </c>
      <c r="U36" s="732"/>
      <c r="V36" s="976"/>
      <c r="W36" s="977"/>
      <c r="X36" s="74"/>
    </row>
    <row r="37" spans="1:24" ht="16.350000000000001" customHeight="1" x14ac:dyDescent="0.25">
      <c r="A37" s="13">
        <v>3</v>
      </c>
      <c r="B37" s="796" t="s">
        <v>95</v>
      </c>
      <c r="C37" s="797"/>
      <c r="D37" s="968"/>
      <c r="E37" s="969"/>
      <c r="F37" s="1144"/>
      <c r="G37" s="12">
        <v>3</v>
      </c>
      <c r="H37" s="800" t="s">
        <v>99</v>
      </c>
      <c r="I37" s="801"/>
      <c r="J37" s="988"/>
      <c r="K37" s="989"/>
      <c r="L37" s="1138"/>
      <c r="M37" s="564">
        <v>3</v>
      </c>
      <c r="N37" s="1176" t="s">
        <v>268</v>
      </c>
      <c r="O37" s="1177"/>
      <c r="P37" s="1180"/>
      <c r="Q37" s="1181"/>
      <c r="R37" s="1144"/>
      <c r="S37" s="10">
        <v>3</v>
      </c>
      <c r="T37" s="731" t="s">
        <v>272</v>
      </c>
      <c r="U37" s="732"/>
      <c r="V37" s="976"/>
      <c r="W37" s="977"/>
    </row>
    <row r="38" spans="1:24" ht="16.350000000000001" customHeight="1" thickBot="1" x14ac:dyDescent="0.3">
      <c r="A38" s="18">
        <v>4</v>
      </c>
      <c r="B38" s="788" t="s">
        <v>96</v>
      </c>
      <c r="C38" s="789"/>
      <c r="D38" s="970"/>
      <c r="E38" s="971"/>
      <c r="F38" s="1144"/>
      <c r="G38" s="17">
        <v>4</v>
      </c>
      <c r="H38" s="792" t="s">
        <v>100</v>
      </c>
      <c r="I38" s="793"/>
      <c r="J38" s="990"/>
      <c r="K38" s="991"/>
      <c r="L38" s="1138"/>
      <c r="M38" s="565">
        <v>4</v>
      </c>
      <c r="N38" s="1174" t="s">
        <v>269</v>
      </c>
      <c r="O38" s="1175"/>
      <c r="P38" s="1182"/>
      <c r="Q38" s="1183"/>
      <c r="R38" s="1144"/>
      <c r="S38" s="15">
        <v>4</v>
      </c>
      <c r="T38" s="717" t="s">
        <v>273</v>
      </c>
      <c r="U38" s="718"/>
      <c r="V38" s="978"/>
      <c r="W38" s="979"/>
    </row>
    <row r="39" spans="1:24" ht="5.0999999999999996" customHeight="1" thickBot="1" x14ac:dyDescent="0.3">
      <c r="A39" s="19"/>
      <c r="B39" s="2"/>
      <c r="C39" s="2"/>
      <c r="D39" s="2"/>
      <c r="E39" s="21"/>
      <c r="F39" s="1144"/>
      <c r="G39" s="19"/>
      <c r="H39" s="2"/>
      <c r="I39" s="22"/>
      <c r="J39" s="2"/>
      <c r="K39" s="21"/>
      <c r="L39" s="1138"/>
      <c r="M39" s="19"/>
      <c r="N39" s="2"/>
      <c r="O39" s="2"/>
      <c r="P39" s="2"/>
      <c r="Q39" s="21"/>
      <c r="R39" s="1144"/>
      <c r="S39" s="19"/>
      <c r="T39" s="2"/>
      <c r="U39" s="2"/>
      <c r="V39" s="2"/>
      <c r="W39" s="21"/>
    </row>
    <row r="40" spans="1:24" x14ac:dyDescent="0.25">
      <c r="A40" s="28"/>
      <c r="B40" s="784" t="s">
        <v>5</v>
      </c>
      <c r="C40" s="784"/>
      <c r="D40" s="941"/>
      <c r="E40" s="942"/>
      <c r="F40" s="1144"/>
      <c r="G40" s="27"/>
      <c r="H40" s="786" t="s">
        <v>5</v>
      </c>
      <c r="I40" s="786"/>
      <c r="J40" s="960"/>
      <c r="K40" s="961"/>
      <c r="L40" s="1138"/>
      <c r="M40" s="26"/>
      <c r="N40" s="715" t="s">
        <v>5</v>
      </c>
      <c r="O40" s="715"/>
      <c r="P40" s="954"/>
      <c r="Q40" s="955"/>
      <c r="R40" s="1144"/>
      <c r="S40" s="24"/>
      <c r="T40" s="713" t="s">
        <v>5</v>
      </c>
      <c r="U40" s="713"/>
      <c r="V40" s="950"/>
      <c r="W40" s="951"/>
    </row>
    <row r="41" spans="1:24" ht="14.45" customHeight="1" x14ac:dyDescent="0.25">
      <c r="A41" s="36">
        <f>E4</f>
        <v>0.375</v>
      </c>
      <c r="B41" s="37" t="str">
        <f>B35</f>
        <v>Equipe 17</v>
      </c>
      <c r="C41" s="37" t="str">
        <f>B36</f>
        <v>Equipe 18</v>
      </c>
      <c r="D41" s="943"/>
      <c r="E41" s="944"/>
      <c r="F41" s="1144"/>
      <c r="G41" s="34">
        <f>A41</f>
        <v>0.375</v>
      </c>
      <c r="H41" s="35" t="str">
        <f>H35</f>
        <v>Equipe 21</v>
      </c>
      <c r="I41" s="35" t="str">
        <f>H36</f>
        <v>Equipe 22</v>
      </c>
      <c r="J41" s="962"/>
      <c r="K41" s="963"/>
      <c r="L41" s="1138"/>
      <c r="M41" s="32">
        <f>E4</f>
        <v>0.375</v>
      </c>
      <c r="N41" s="33" t="str">
        <f>N35</f>
        <v>Equipe 25</v>
      </c>
      <c r="O41" s="33" t="str">
        <f>N36</f>
        <v>Equipe 26</v>
      </c>
      <c r="P41" s="956"/>
      <c r="Q41" s="957"/>
      <c r="R41" s="1144"/>
      <c r="S41" s="30">
        <f>M41</f>
        <v>0.375</v>
      </c>
      <c r="T41" s="31" t="str">
        <f>T35</f>
        <v>Equipe 29</v>
      </c>
      <c r="U41" s="31" t="str">
        <f>T36</f>
        <v>Equipe 30</v>
      </c>
      <c r="V41" s="952"/>
      <c r="W41" s="953"/>
    </row>
    <row r="42" spans="1:24" ht="14.45" customHeight="1" thickBot="1" x14ac:dyDescent="0.3">
      <c r="A42" s="44">
        <f>A41+$J$6+R5</f>
        <v>0.38541666666666663</v>
      </c>
      <c r="B42" s="45" t="str">
        <f>B37</f>
        <v>Equipe 19</v>
      </c>
      <c r="C42" s="45" t="str">
        <f>B38</f>
        <v>Equipe 20</v>
      </c>
      <c r="D42" s="945"/>
      <c r="E42" s="946"/>
      <c r="F42" s="1144"/>
      <c r="G42" s="42">
        <f>G41+$J$6+R5</f>
        <v>0.38541666666666663</v>
      </c>
      <c r="H42" s="43" t="str">
        <f>H37</f>
        <v>Equipe 23</v>
      </c>
      <c r="I42" s="43" t="str">
        <f>H38</f>
        <v>Equipe 24</v>
      </c>
      <c r="J42" s="964"/>
      <c r="K42" s="965"/>
      <c r="L42" s="1138"/>
      <c r="M42" s="40">
        <f>M41+$J$6+R5</f>
        <v>0.38541666666666663</v>
      </c>
      <c r="N42" s="41" t="str">
        <f>N37</f>
        <v>Equipe 27</v>
      </c>
      <c r="O42" s="41" t="str">
        <f>N38</f>
        <v>Equipe 28</v>
      </c>
      <c r="P42" s="958"/>
      <c r="Q42" s="959"/>
      <c r="R42" s="1144"/>
      <c r="S42" s="38">
        <f>S41+$J$6+R5</f>
        <v>0.38541666666666663</v>
      </c>
      <c r="T42" s="39" t="str">
        <f>T37</f>
        <v>Equipe 31</v>
      </c>
      <c r="U42" s="39" t="str">
        <f>T38</f>
        <v>Equipe 32</v>
      </c>
      <c r="V42" s="972"/>
      <c r="W42" s="973"/>
    </row>
    <row r="43" spans="1:24" ht="5.0999999999999996" customHeight="1" thickBot="1" x14ac:dyDescent="0.3">
      <c r="A43" s="19"/>
      <c r="B43" s="2"/>
      <c r="C43" s="2"/>
      <c r="D43" s="521"/>
      <c r="E43" s="522"/>
      <c r="F43" s="1144"/>
      <c r="G43" s="19"/>
      <c r="H43" s="2"/>
      <c r="I43" s="47"/>
      <c r="J43" s="521"/>
      <c r="K43" s="522"/>
      <c r="L43" s="1138"/>
      <c r="M43" s="19"/>
      <c r="N43" s="2"/>
      <c r="O43" s="2"/>
      <c r="P43" s="521"/>
      <c r="Q43" s="522"/>
      <c r="R43" s="1144"/>
      <c r="S43" s="19"/>
      <c r="T43" s="2"/>
      <c r="U43" s="2"/>
      <c r="V43" s="521"/>
      <c r="W43" s="522"/>
    </row>
    <row r="44" spans="1:24" x14ac:dyDescent="0.25">
      <c r="A44" s="28"/>
      <c r="B44" s="784" t="s">
        <v>6</v>
      </c>
      <c r="C44" s="784"/>
      <c r="D44" s="941"/>
      <c r="E44" s="942"/>
      <c r="F44" s="1144"/>
      <c r="G44" s="27"/>
      <c r="H44" s="786" t="s">
        <v>6</v>
      </c>
      <c r="I44" s="786"/>
      <c r="J44" s="960"/>
      <c r="K44" s="961"/>
      <c r="L44" s="1138"/>
      <c r="M44" s="26"/>
      <c r="N44" s="715" t="s">
        <v>6</v>
      </c>
      <c r="O44" s="715"/>
      <c r="P44" s="954"/>
      <c r="Q44" s="955"/>
      <c r="R44" s="1144"/>
      <c r="S44" s="24"/>
      <c r="T44" s="713" t="s">
        <v>6</v>
      </c>
      <c r="U44" s="713"/>
      <c r="V44" s="950"/>
      <c r="W44" s="951"/>
    </row>
    <row r="45" spans="1:24" ht="14.45" customHeight="1" x14ac:dyDescent="0.25">
      <c r="A45" s="36">
        <f>G42+$J$6+R5</f>
        <v>0.39583333333333326</v>
      </c>
      <c r="B45" s="37" t="str">
        <f>B35</f>
        <v>Equipe 17</v>
      </c>
      <c r="C45" s="37" t="str">
        <f>B37</f>
        <v>Equipe 19</v>
      </c>
      <c r="D45" s="943"/>
      <c r="E45" s="944"/>
      <c r="F45" s="1144"/>
      <c r="G45" s="34">
        <f>A45</f>
        <v>0.39583333333333326</v>
      </c>
      <c r="H45" s="35" t="str">
        <f>H35</f>
        <v>Equipe 21</v>
      </c>
      <c r="I45" s="35" t="str">
        <f>H37</f>
        <v>Equipe 23</v>
      </c>
      <c r="J45" s="962"/>
      <c r="K45" s="963"/>
      <c r="L45" s="1138"/>
      <c r="M45" s="32">
        <f>A45</f>
        <v>0.39583333333333326</v>
      </c>
      <c r="N45" s="33" t="str">
        <f>N35</f>
        <v>Equipe 25</v>
      </c>
      <c r="O45" s="33" t="str">
        <f>N37</f>
        <v>Equipe 27</v>
      </c>
      <c r="P45" s="956"/>
      <c r="Q45" s="957"/>
      <c r="R45" s="1144"/>
      <c r="S45" s="30">
        <f>M45</f>
        <v>0.39583333333333326</v>
      </c>
      <c r="T45" s="31" t="str">
        <f>T35</f>
        <v>Equipe 29</v>
      </c>
      <c r="U45" s="31" t="str">
        <f>T37</f>
        <v>Equipe 31</v>
      </c>
      <c r="V45" s="952"/>
      <c r="W45" s="953"/>
    </row>
    <row r="46" spans="1:24" ht="14.45" customHeight="1" thickBot="1" x14ac:dyDescent="0.3">
      <c r="A46" s="44">
        <f>A45+$J$6+R5</f>
        <v>0.40624999999999989</v>
      </c>
      <c r="B46" s="45" t="str">
        <f>B36</f>
        <v>Equipe 18</v>
      </c>
      <c r="C46" s="45" t="str">
        <f>B38</f>
        <v>Equipe 20</v>
      </c>
      <c r="D46" s="945"/>
      <c r="E46" s="946"/>
      <c r="F46" s="1144"/>
      <c r="G46" s="42">
        <f>G45+$J$6+R5</f>
        <v>0.40624999999999989</v>
      </c>
      <c r="H46" s="43" t="str">
        <f>H36</f>
        <v>Equipe 22</v>
      </c>
      <c r="I46" s="43" t="str">
        <f>H38</f>
        <v>Equipe 24</v>
      </c>
      <c r="J46" s="964"/>
      <c r="K46" s="965"/>
      <c r="L46" s="1138"/>
      <c r="M46" s="40">
        <f>M45+$J$6+R5</f>
        <v>0.40624999999999989</v>
      </c>
      <c r="N46" s="41" t="str">
        <f>N36</f>
        <v>Equipe 26</v>
      </c>
      <c r="O46" s="41" t="str">
        <f>N38</f>
        <v>Equipe 28</v>
      </c>
      <c r="P46" s="958"/>
      <c r="Q46" s="959"/>
      <c r="R46" s="1144"/>
      <c r="S46" s="38">
        <f>S45+$J$6+R5</f>
        <v>0.40624999999999989</v>
      </c>
      <c r="T46" s="39" t="str">
        <f>T36</f>
        <v>Equipe 30</v>
      </c>
      <c r="U46" s="39" t="str">
        <f>T38</f>
        <v>Equipe 32</v>
      </c>
      <c r="V46" s="972"/>
      <c r="W46" s="973"/>
    </row>
    <row r="47" spans="1:24" ht="5.0999999999999996" customHeight="1" thickBot="1" x14ac:dyDescent="0.3">
      <c r="A47" s="19"/>
      <c r="B47" s="2"/>
      <c r="C47" s="2"/>
      <c r="D47" s="521"/>
      <c r="E47" s="522"/>
      <c r="F47" s="1144"/>
      <c r="G47" s="19"/>
      <c r="H47" s="2"/>
      <c r="I47" s="47"/>
      <c r="J47" s="521"/>
      <c r="K47" s="522"/>
      <c r="L47" s="1138"/>
      <c r="M47" s="19"/>
      <c r="N47" s="2"/>
      <c r="O47" s="2"/>
      <c r="P47" s="521"/>
      <c r="Q47" s="522"/>
      <c r="R47" s="1144"/>
      <c r="S47" s="19"/>
      <c r="T47" s="2"/>
      <c r="U47" s="2"/>
      <c r="V47" s="521"/>
      <c r="W47" s="522"/>
    </row>
    <row r="48" spans="1:24" ht="14.45" customHeight="1" x14ac:dyDescent="0.25">
      <c r="A48" s="28"/>
      <c r="B48" s="784" t="s">
        <v>7</v>
      </c>
      <c r="C48" s="784"/>
      <c r="D48" s="941"/>
      <c r="E48" s="942"/>
      <c r="F48" s="1144"/>
      <c r="G48" s="27"/>
      <c r="H48" s="786" t="s">
        <v>7</v>
      </c>
      <c r="I48" s="786"/>
      <c r="J48" s="960"/>
      <c r="K48" s="961"/>
      <c r="L48" s="1138"/>
      <c r="M48" s="26"/>
      <c r="N48" s="715" t="s">
        <v>7</v>
      </c>
      <c r="O48" s="715"/>
      <c r="P48" s="954"/>
      <c r="Q48" s="955"/>
      <c r="R48" s="1144"/>
      <c r="S48" s="24"/>
      <c r="T48" s="713" t="s">
        <v>7</v>
      </c>
      <c r="U48" s="713"/>
      <c r="V48" s="950"/>
      <c r="W48" s="951"/>
    </row>
    <row r="49" spans="1:24" ht="14.45" customHeight="1" x14ac:dyDescent="0.25">
      <c r="A49" s="36">
        <f>G46+$J$6+R5</f>
        <v>0.41666666666666652</v>
      </c>
      <c r="B49" s="37" t="str">
        <f>B35</f>
        <v>Equipe 17</v>
      </c>
      <c r="C49" s="37" t="str">
        <f>B38</f>
        <v>Equipe 20</v>
      </c>
      <c r="D49" s="943"/>
      <c r="E49" s="944"/>
      <c r="F49" s="1144"/>
      <c r="G49" s="34">
        <f>A49</f>
        <v>0.41666666666666652</v>
      </c>
      <c r="H49" s="35" t="str">
        <f>H35</f>
        <v>Equipe 21</v>
      </c>
      <c r="I49" s="35" t="str">
        <f>H38</f>
        <v>Equipe 24</v>
      </c>
      <c r="J49" s="962"/>
      <c r="K49" s="963"/>
      <c r="L49" s="1138"/>
      <c r="M49" s="32">
        <f>A49</f>
        <v>0.41666666666666652</v>
      </c>
      <c r="N49" s="33" t="str">
        <f>N35</f>
        <v>Equipe 25</v>
      </c>
      <c r="O49" s="33" t="str">
        <f>N38</f>
        <v>Equipe 28</v>
      </c>
      <c r="P49" s="956"/>
      <c r="Q49" s="957"/>
      <c r="R49" s="1144"/>
      <c r="S49" s="30">
        <f>M49</f>
        <v>0.41666666666666652</v>
      </c>
      <c r="T49" s="31" t="str">
        <f>T35</f>
        <v>Equipe 29</v>
      </c>
      <c r="U49" s="31" t="str">
        <f>T38</f>
        <v>Equipe 32</v>
      </c>
      <c r="V49" s="952"/>
      <c r="W49" s="953"/>
    </row>
    <row r="50" spans="1:24" ht="15.75" thickBot="1" x14ac:dyDescent="0.3">
      <c r="A50" s="44">
        <f>A49+$J$6+R5</f>
        <v>0.42708333333333315</v>
      </c>
      <c r="B50" s="45" t="str">
        <f>B36</f>
        <v>Equipe 18</v>
      </c>
      <c r="C50" s="45" t="str">
        <f>B37</f>
        <v>Equipe 19</v>
      </c>
      <c r="D50" s="945"/>
      <c r="E50" s="946"/>
      <c r="F50" s="1145"/>
      <c r="G50" s="42">
        <f>G49+$J$6+R5</f>
        <v>0.42708333333333315</v>
      </c>
      <c r="H50" s="43" t="str">
        <f>H36</f>
        <v>Equipe 22</v>
      </c>
      <c r="I50" s="43" t="str">
        <f>H37</f>
        <v>Equipe 23</v>
      </c>
      <c r="J50" s="964"/>
      <c r="K50" s="965"/>
      <c r="L50" s="1139"/>
      <c r="M50" s="40">
        <f>M49+$J$6+R5</f>
        <v>0.42708333333333315</v>
      </c>
      <c r="N50" s="41" t="str">
        <f>N36</f>
        <v>Equipe 26</v>
      </c>
      <c r="O50" s="41" t="str">
        <f>N37</f>
        <v>Equipe 27</v>
      </c>
      <c r="P50" s="958"/>
      <c r="Q50" s="959"/>
      <c r="R50" s="1145"/>
      <c r="S50" s="38">
        <f>S49+$J$6+R5</f>
        <v>0.42708333333333315</v>
      </c>
      <c r="T50" s="39" t="str">
        <f>T36</f>
        <v>Equipe 30</v>
      </c>
      <c r="U50" s="39" t="str">
        <f>T37</f>
        <v>Equipe 31</v>
      </c>
      <c r="V50" s="972"/>
      <c r="W50" s="973"/>
    </row>
    <row r="51" spans="1:24" ht="14.45" customHeight="1" thickBot="1" x14ac:dyDescent="0.3">
      <c r="A51" s="118"/>
      <c r="B51" s="119"/>
      <c r="C51" s="119"/>
      <c r="D51" s="173"/>
      <c r="E51" s="173"/>
      <c r="F51" s="89"/>
      <c r="G51" s="120"/>
      <c r="H51" s="119"/>
      <c r="I51" s="119"/>
      <c r="J51" s="173"/>
      <c r="K51" s="173"/>
      <c r="L51" s="89"/>
      <c r="M51" s="120"/>
      <c r="N51" s="119"/>
      <c r="O51" s="119"/>
      <c r="P51" s="173"/>
      <c r="Q51" s="173"/>
      <c r="R51" s="89"/>
      <c r="S51" s="532"/>
      <c r="T51" s="530"/>
      <c r="U51" s="530"/>
      <c r="V51" s="116"/>
      <c r="W51" s="117"/>
    </row>
    <row r="52" spans="1:24" ht="14.45" hidden="1" customHeight="1" thickBot="1" x14ac:dyDescent="0.3">
      <c r="A52" s="783" t="s">
        <v>60</v>
      </c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2"/>
      <c r="U52" s="762"/>
      <c r="V52" s="762"/>
      <c r="W52" s="763"/>
      <c r="X52" s="172"/>
    </row>
    <row r="53" spans="1:24" ht="14.45" hidden="1" customHeight="1" x14ac:dyDescent="0.25">
      <c r="A53" s="81" t="s">
        <v>21</v>
      </c>
      <c r="B53" s="711" t="s">
        <v>91</v>
      </c>
      <c r="C53" s="711"/>
      <c r="D53" s="711" t="s">
        <v>15</v>
      </c>
      <c r="E53" s="712"/>
      <c r="F53" s="122"/>
      <c r="G53" s="81" t="s">
        <v>21</v>
      </c>
      <c r="H53" s="711" t="s">
        <v>92</v>
      </c>
      <c r="I53" s="711"/>
      <c r="J53" s="711" t="s">
        <v>15</v>
      </c>
      <c r="K53" s="712"/>
      <c r="L53" s="75"/>
      <c r="M53" s="81" t="s">
        <v>21</v>
      </c>
      <c r="N53" s="711" t="s">
        <v>264</v>
      </c>
      <c r="O53" s="711"/>
      <c r="P53" s="711" t="s">
        <v>15</v>
      </c>
      <c r="Q53" s="712"/>
      <c r="R53" s="122"/>
      <c r="S53" s="81" t="s">
        <v>21</v>
      </c>
      <c r="T53" s="711" t="s">
        <v>265</v>
      </c>
      <c r="U53" s="711"/>
      <c r="V53" s="711" t="s">
        <v>15</v>
      </c>
      <c r="W53" s="712"/>
      <c r="X53" s="172"/>
    </row>
    <row r="54" spans="1:24" ht="14.45" hidden="1" customHeight="1" x14ac:dyDescent="0.25">
      <c r="A54" s="49">
        <v>1</v>
      </c>
      <c r="B54" s="680" t="str">
        <f>VLOOKUP($A54,$A$129:$D$132,2,FALSE)</f>
        <v>Equipe 17</v>
      </c>
      <c r="C54" s="680"/>
      <c r="D54" s="683">
        <f>VLOOKUP($A54,$A$129:$D$132,4,FALSE)</f>
        <v>3.9999999999999998E-7</v>
      </c>
      <c r="E54" s="684"/>
      <c r="F54" s="105"/>
      <c r="G54" s="49">
        <v>1</v>
      </c>
      <c r="H54" s="680" t="str">
        <f>VLOOKUP($G54,$G$129:$J$132,2,FALSE)</f>
        <v>Equipe 21</v>
      </c>
      <c r="I54" s="680"/>
      <c r="J54" s="681">
        <f>VLOOKUP($G54,$G$129:$J$132,4,FALSE)</f>
        <v>3.9999999999999998E-7</v>
      </c>
      <c r="K54" s="682"/>
      <c r="L54" s="76"/>
      <c r="M54" s="49">
        <v>1</v>
      </c>
      <c r="N54" s="824" t="str">
        <f>VLOOKUP($M54,$M$129:$P$132,2,FALSE)</f>
        <v>Equipe 25</v>
      </c>
      <c r="O54" s="825"/>
      <c r="P54" s="767">
        <f>VLOOKUP($M54,$M$129:$P$132,4,FALSE)</f>
        <v>3.9999999999999998E-7</v>
      </c>
      <c r="Q54" s="922"/>
      <c r="R54" s="105"/>
      <c r="S54" s="49">
        <v>1</v>
      </c>
      <c r="T54" s="680" t="str">
        <f>VLOOKUP($S54,$S$129:$V$132,2,FALSE)</f>
        <v>Equipe 29</v>
      </c>
      <c r="U54" s="680"/>
      <c r="V54" s="681">
        <f>VLOOKUP($S54,$S$129:$V$132,4,FALSE)</f>
        <v>3.9999999999999998E-7</v>
      </c>
      <c r="W54" s="682"/>
      <c r="X54" s="172"/>
    </row>
    <row r="55" spans="1:24" ht="14.45" hidden="1" customHeight="1" x14ac:dyDescent="0.25">
      <c r="A55" s="49">
        <v>2</v>
      </c>
      <c r="B55" s="680" t="str">
        <f>VLOOKUP($A55,$A$129:$D$132,2,FALSE)</f>
        <v>Equipe 18</v>
      </c>
      <c r="C55" s="680"/>
      <c r="D55" s="683">
        <f>VLOOKUP($A55,$A$129:$D$132,4,FALSE)</f>
        <v>2.9999999999999999E-7</v>
      </c>
      <c r="E55" s="684"/>
      <c r="F55" s="105"/>
      <c r="G55" s="49">
        <v>2</v>
      </c>
      <c r="H55" s="680" t="str">
        <f>VLOOKUP($G55,$G$129:$J$132,2,FALSE)</f>
        <v>Equipe 22</v>
      </c>
      <c r="I55" s="680"/>
      <c r="J55" s="681">
        <f>VLOOKUP($G55,$G$129:$J$132,4,FALSE)</f>
        <v>2.9999999999999999E-7</v>
      </c>
      <c r="K55" s="682"/>
      <c r="L55" s="76"/>
      <c r="M55" s="49">
        <v>2</v>
      </c>
      <c r="N55" s="824" t="str">
        <f>VLOOKUP($M55,$M$129:$P$132,2,FALSE)</f>
        <v>Equipe 26</v>
      </c>
      <c r="O55" s="825"/>
      <c r="P55" s="767">
        <f>VLOOKUP($M55,$M$129:$P$132,4,FALSE)</f>
        <v>2.9999999999999999E-7</v>
      </c>
      <c r="Q55" s="922"/>
      <c r="R55" s="105"/>
      <c r="S55" s="49">
        <v>2</v>
      </c>
      <c r="T55" s="680" t="str">
        <f>VLOOKUP($S55,$S$129:$V$132,2,FALSE)</f>
        <v>Equipe 30</v>
      </c>
      <c r="U55" s="680"/>
      <c r="V55" s="681">
        <f>VLOOKUP($S55,$S$129:$V$132,4,FALSE)</f>
        <v>2.9999999999999999E-7</v>
      </c>
      <c r="W55" s="682"/>
      <c r="X55" s="172"/>
    </row>
    <row r="56" spans="1:24" ht="15" hidden="1" customHeight="1" x14ac:dyDescent="0.25">
      <c r="A56" s="49">
        <v>3</v>
      </c>
      <c r="B56" s="680" t="str">
        <f>VLOOKUP($A56,$A$129:$D$132,2,FALSE)</f>
        <v>Equipe 19</v>
      </c>
      <c r="C56" s="680"/>
      <c r="D56" s="683">
        <f>VLOOKUP($A56,$A$129:$D$132,4,FALSE)</f>
        <v>1.9999999999999999E-7</v>
      </c>
      <c r="E56" s="684"/>
      <c r="F56" s="105"/>
      <c r="G56" s="49">
        <v>3</v>
      </c>
      <c r="H56" s="680" t="str">
        <f>VLOOKUP($G56,$G$129:$J$132,2,FALSE)</f>
        <v>Equipe 23</v>
      </c>
      <c r="I56" s="680"/>
      <c r="J56" s="681">
        <f>VLOOKUP($G56,$G$129:$J$132,4,FALSE)</f>
        <v>1.9999999999999999E-7</v>
      </c>
      <c r="K56" s="682"/>
      <c r="L56" s="76"/>
      <c r="M56" s="49">
        <v>3</v>
      </c>
      <c r="N56" s="824" t="str">
        <f>VLOOKUP($M56,$M$129:$P$132,2,FALSE)</f>
        <v>Equipe 27</v>
      </c>
      <c r="O56" s="825"/>
      <c r="P56" s="767">
        <f>VLOOKUP($M56,$M$129:$P$132,4,FALSE)</f>
        <v>1.9999999999999999E-7</v>
      </c>
      <c r="Q56" s="922"/>
      <c r="R56" s="105"/>
      <c r="S56" s="49">
        <v>3</v>
      </c>
      <c r="T56" s="680" t="str">
        <f>VLOOKUP($S56,$S$129:$V$132,2,FALSE)</f>
        <v>Equipe 31</v>
      </c>
      <c r="U56" s="680"/>
      <c r="V56" s="681">
        <f>VLOOKUP($S56,$S$129:$V$132,4,FALSE)</f>
        <v>1.9999999999999999E-7</v>
      </c>
      <c r="W56" s="682"/>
    </row>
    <row r="57" spans="1:24" s="2" customFormat="1" ht="15.75" hidden="1" thickBot="1" x14ac:dyDescent="0.3">
      <c r="A57" s="50">
        <v>4</v>
      </c>
      <c r="B57" s="680" t="str">
        <f>VLOOKUP($A57,$A$129:$D$132,2,FALSE)</f>
        <v>Equipe 20</v>
      </c>
      <c r="C57" s="680"/>
      <c r="D57" s="683">
        <f>VLOOKUP($A57,$A$129:$D$132,4,FALSE)</f>
        <v>9.9999999999999995E-8</v>
      </c>
      <c r="E57" s="684"/>
      <c r="F57" s="123"/>
      <c r="G57" s="50">
        <v>4</v>
      </c>
      <c r="H57" s="680" t="str">
        <f>VLOOKUP($G57,$G$129:$J$132,2,FALSE)</f>
        <v>Equipe 24</v>
      </c>
      <c r="I57" s="680"/>
      <c r="J57" s="681">
        <f>VLOOKUP($G57,$G$129:$J$132,4,FALSE)</f>
        <v>9.9999999999999995E-8</v>
      </c>
      <c r="K57" s="682"/>
      <c r="L57" s="78"/>
      <c r="M57" s="50">
        <v>4</v>
      </c>
      <c r="N57" s="824" t="str">
        <f>VLOOKUP($M57,$M$129:$P$132,2,FALSE)</f>
        <v>Equipe 28</v>
      </c>
      <c r="O57" s="825"/>
      <c r="P57" s="767">
        <f>VLOOKUP($M57,$M$129:$P$132,4,FALSE)</f>
        <v>9.9999999999999995E-8</v>
      </c>
      <c r="Q57" s="922"/>
      <c r="R57" s="123"/>
      <c r="S57" s="50">
        <v>4</v>
      </c>
      <c r="T57" s="680" t="str">
        <f>VLOOKUP($S57,$S$129:$V$132,2,FALSE)</f>
        <v>Equipe 32</v>
      </c>
      <c r="U57" s="680"/>
      <c r="V57" s="681">
        <f>VLOOKUP($S57,$S$129:$V$132,4,FALSE)</f>
        <v>9.9999999999999995E-8</v>
      </c>
      <c r="W57" s="682"/>
    </row>
    <row r="58" spans="1:24" s="2" customFormat="1" ht="15.75" hidden="1" thickBot="1" x14ac:dyDescent="0.3">
      <c r="A58" s="703" t="s">
        <v>34</v>
      </c>
      <c r="B58" s="704"/>
      <c r="C58" s="704"/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4"/>
      <c r="V58" s="704"/>
      <c r="W58" s="705"/>
    </row>
    <row r="59" spans="1:24" ht="15.75" thickBot="1" x14ac:dyDescent="0.3">
      <c r="A59" s="1087" t="s">
        <v>338</v>
      </c>
      <c r="B59" s="1088"/>
      <c r="C59" s="1088"/>
      <c r="D59" s="1088"/>
      <c r="E59" s="1088"/>
      <c r="F59" s="1088"/>
      <c r="G59" s="1088"/>
      <c r="H59" s="1088"/>
      <c r="I59" s="1088"/>
      <c r="J59" s="1088"/>
      <c r="K59" s="1088"/>
      <c r="L59" s="1088"/>
      <c r="M59" s="1088"/>
      <c r="N59" s="1088"/>
      <c r="O59" s="1088"/>
      <c r="P59" s="1088"/>
      <c r="Q59" s="1088"/>
      <c r="R59" s="1088"/>
      <c r="S59" s="1088"/>
      <c r="T59" s="1088"/>
      <c r="U59" s="1088"/>
      <c r="V59" s="1088"/>
      <c r="W59" s="1089"/>
    </row>
    <row r="60" spans="1:24" ht="14.45" customHeight="1" thickBot="1" x14ac:dyDescent="0.3">
      <c r="A60" s="1093" t="s">
        <v>275</v>
      </c>
      <c r="B60" s="1094"/>
      <c r="C60" s="1094"/>
      <c r="D60" s="1094"/>
      <c r="E60" s="1094"/>
      <c r="F60" s="1094"/>
      <c r="G60" s="1094"/>
      <c r="H60" s="1094"/>
      <c r="I60" s="1094"/>
      <c r="J60" s="1094"/>
      <c r="K60" s="1094"/>
      <c r="L60" s="1094"/>
      <c r="M60" s="1094"/>
      <c r="N60" s="1094"/>
      <c r="O60" s="1094"/>
      <c r="P60" s="1094"/>
      <c r="Q60" s="1094"/>
      <c r="R60" s="1094"/>
      <c r="S60" s="1094"/>
      <c r="T60" s="1094"/>
      <c r="U60" s="1094"/>
      <c r="V60" s="1094"/>
      <c r="W60" s="1095"/>
    </row>
    <row r="61" spans="1:24" ht="21.75" thickBot="1" x14ac:dyDescent="0.4">
      <c r="A61" s="1141" t="s">
        <v>83</v>
      </c>
      <c r="B61" s="1142"/>
      <c r="C61" s="1142"/>
      <c r="D61" s="1142"/>
      <c r="E61" s="1142"/>
      <c r="F61" s="1142"/>
      <c r="G61" s="1142"/>
      <c r="H61" s="1142"/>
      <c r="I61" s="520" t="s">
        <v>18</v>
      </c>
      <c r="J61" s="782">
        <v>6.9444444444444441E-3</v>
      </c>
      <c r="K61" s="782"/>
      <c r="L61" s="782"/>
      <c r="M61" s="527" t="s">
        <v>17</v>
      </c>
      <c r="N61" s="520"/>
      <c r="O61" s="686"/>
      <c r="P61" s="686"/>
      <c r="Q61" s="686"/>
      <c r="R61" s="686"/>
      <c r="S61" s="686"/>
      <c r="T61" s="686"/>
      <c r="U61" s="686"/>
      <c r="V61" s="686"/>
      <c r="W61" s="781"/>
    </row>
    <row r="62" spans="1:24" ht="16.5" thickBot="1" x14ac:dyDescent="0.3">
      <c r="A62" s="780" t="s">
        <v>87</v>
      </c>
      <c r="B62" s="686"/>
      <c r="C62" s="686"/>
      <c r="D62" s="686"/>
      <c r="E62" s="781"/>
      <c r="F62" s="1143"/>
      <c r="G62" s="780" t="s">
        <v>88</v>
      </c>
      <c r="H62" s="686"/>
      <c r="I62" s="686"/>
      <c r="J62" s="686"/>
      <c r="K62" s="781"/>
      <c r="L62" s="1137"/>
      <c r="M62" s="780" t="s">
        <v>250</v>
      </c>
      <c r="N62" s="686"/>
      <c r="O62" s="686"/>
      <c r="P62" s="686"/>
      <c r="Q62" s="781"/>
      <c r="R62" s="1143"/>
      <c r="S62" s="780" t="s">
        <v>251</v>
      </c>
      <c r="T62" s="686"/>
      <c r="U62" s="686"/>
      <c r="V62" s="686"/>
      <c r="W62" s="781"/>
    </row>
    <row r="63" spans="1:24" x14ac:dyDescent="0.25">
      <c r="A63" s="6"/>
      <c r="B63" s="744" t="s">
        <v>41</v>
      </c>
      <c r="C63" s="745"/>
      <c r="D63" s="974"/>
      <c r="E63" s="975"/>
      <c r="F63" s="1144"/>
      <c r="G63" s="7"/>
      <c r="H63" s="747" t="s">
        <v>42</v>
      </c>
      <c r="I63" s="748"/>
      <c r="J63" s="980"/>
      <c r="K63" s="981"/>
      <c r="L63" s="1138"/>
      <c r="M63" s="8"/>
      <c r="N63" s="804" t="s">
        <v>43</v>
      </c>
      <c r="O63" s="805"/>
      <c r="P63" s="986"/>
      <c r="Q63" s="987"/>
      <c r="R63" s="1144"/>
      <c r="S63" s="9"/>
      <c r="T63" s="807" t="s">
        <v>55</v>
      </c>
      <c r="U63" s="808"/>
      <c r="V63" s="966"/>
      <c r="W63" s="967"/>
    </row>
    <row r="64" spans="1:24" x14ac:dyDescent="0.25">
      <c r="A64" s="10">
        <v>1</v>
      </c>
      <c r="B64" s="905" t="str">
        <f>B9</f>
        <v>Equipe 1</v>
      </c>
      <c r="C64" s="933"/>
      <c r="D64" s="976"/>
      <c r="E64" s="977"/>
      <c r="F64" s="1144"/>
      <c r="G64" s="11">
        <v>1</v>
      </c>
      <c r="H64" s="907" t="str">
        <f>B10</f>
        <v>Equipe 2</v>
      </c>
      <c r="I64" s="934"/>
      <c r="J64" s="982"/>
      <c r="K64" s="983"/>
      <c r="L64" s="1138"/>
      <c r="M64" s="12">
        <v>1</v>
      </c>
      <c r="N64" s="844" t="str">
        <f>B11</f>
        <v>Equipe 3</v>
      </c>
      <c r="O64" s="845"/>
      <c r="P64" s="988"/>
      <c r="Q64" s="989"/>
      <c r="R64" s="1144"/>
      <c r="S64" s="13">
        <v>1</v>
      </c>
      <c r="T64" s="835" t="str">
        <f>B12</f>
        <v>Equipe 4</v>
      </c>
      <c r="U64" s="836"/>
      <c r="V64" s="968"/>
      <c r="W64" s="969"/>
    </row>
    <row r="65" spans="1:23" x14ac:dyDescent="0.25">
      <c r="A65" s="10">
        <v>2</v>
      </c>
      <c r="B65" s="905" t="str">
        <f>H10</f>
        <v>Equipe 6</v>
      </c>
      <c r="C65" s="933"/>
      <c r="D65" s="976"/>
      <c r="E65" s="977"/>
      <c r="F65" s="1144"/>
      <c r="G65" s="11">
        <v>2</v>
      </c>
      <c r="H65" s="907" t="str">
        <f>H11</f>
        <v>Equipe 7</v>
      </c>
      <c r="I65" s="934"/>
      <c r="J65" s="982"/>
      <c r="K65" s="983"/>
      <c r="L65" s="1138"/>
      <c r="M65" s="12">
        <v>2</v>
      </c>
      <c r="N65" s="844" t="str">
        <f>H12</f>
        <v>Equipe 8</v>
      </c>
      <c r="O65" s="845"/>
      <c r="P65" s="988"/>
      <c r="Q65" s="989"/>
      <c r="R65" s="1144"/>
      <c r="S65" s="13">
        <v>2</v>
      </c>
      <c r="T65" s="835" t="str">
        <f>H9</f>
        <v>Equipe 5</v>
      </c>
      <c r="U65" s="836"/>
      <c r="V65" s="968"/>
      <c r="W65" s="969"/>
    </row>
    <row r="66" spans="1:23" x14ac:dyDescent="0.25">
      <c r="A66" s="10">
        <v>3</v>
      </c>
      <c r="B66" s="905" t="str">
        <f>N11</f>
        <v>Equipe 11</v>
      </c>
      <c r="C66" s="933"/>
      <c r="D66" s="976"/>
      <c r="E66" s="977"/>
      <c r="F66" s="1144"/>
      <c r="G66" s="11">
        <v>3</v>
      </c>
      <c r="H66" s="907" t="str">
        <f>N12</f>
        <v>Equipe 12</v>
      </c>
      <c r="I66" s="934"/>
      <c r="J66" s="982"/>
      <c r="K66" s="983"/>
      <c r="L66" s="1138"/>
      <c r="M66" s="12">
        <v>3</v>
      </c>
      <c r="N66" s="844" t="str">
        <f>N9</f>
        <v>Equipe 9</v>
      </c>
      <c r="O66" s="845"/>
      <c r="P66" s="988"/>
      <c r="Q66" s="989"/>
      <c r="R66" s="1144"/>
      <c r="S66" s="13">
        <v>3</v>
      </c>
      <c r="T66" s="835" t="str">
        <f>N10</f>
        <v>Equipe 10</v>
      </c>
      <c r="U66" s="836"/>
      <c r="V66" s="968"/>
      <c r="W66" s="969"/>
    </row>
    <row r="67" spans="1:23" ht="15.75" thickBot="1" x14ac:dyDescent="0.3">
      <c r="A67" s="15">
        <v>4</v>
      </c>
      <c r="B67" s="901" t="str">
        <f>T12</f>
        <v>Equipe 16</v>
      </c>
      <c r="C67" s="939"/>
      <c r="D67" s="978"/>
      <c r="E67" s="979"/>
      <c r="F67" s="1144"/>
      <c r="G67" s="16">
        <v>4</v>
      </c>
      <c r="H67" s="903" t="str">
        <f>T9</f>
        <v>Equipe 13</v>
      </c>
      <c r="I67" s="940"/>
      <c r="J67" s="984"/>
      <c r="K67" s="985"/>
      <c r="L67" s="1138"/>
      <c r="M67" s="17">
        <v>4</v>
      </c>
      <c r="N67" s="846" t="str">
        <f>T10</f>
        <v>Equipe 14</v>
      </c>
      <c r="O67" s="847"/>
      <c r="P67" s="990"/>
      <c r="Q67" s="991"/>
      <c r="R67" s="1144"/>
      <c r="S67" s="18">
        <v>4</v>
      </c>
      <c r="T67" s="837" t="str">
        <f>T11</f>
        <v>Equipe 15</v>
      </c>
      <c r="U67" s="838"/>
      <c r="V67" s="970"/>
      <c r="W67" s="971"/>
    </row>
    <row r="68" spans="1:23" ht="5.0999999999999996" customHeight="1" thickBot="1" x14ac:dyDescent="0.3">
      <c r="A68" s="19"/>
      <c r="B68" s="2"/>
      <c r="C68" s="2"/>
      <c r="D68" s="2"/>
      <c r="E68" s="21"/>
      <c r="F68" s="1144"/>
      <c r="G68" s="19"/>
      <c r="H68" s="2"/>
      <c r="I68" s="22"/>
      <c r="J68" s="2"/>
      <c r="K68" s="21"/>
      <c r="L68" s="1138"/>
      <c r="M68" s="19"/>
      <c r="N68" s="2"/>
      <c r="O68" s="2"/>
      <c r="P68" s="2"/>
      <c r="Q68" s="21"/>
      <c r="R68" s="1144"/>
      <c r="S68" s="19"/>
      <c r="T68" s="2"/>
      <c r="U68" s="2"/>
      <c r="V68" s="2"/>
      <c r="W68" s="21"/>
    </row>
    <row r="69" spans="1:23" s="29" customFormat="1" x14ac:dyDescent="0.25">
      <c r="A69" s="24"/>
      <c r="B69" s="713" t="s">
        <v>5</v>
      </c>
      <c r="C69" s="713"/>
      <c r="D69" s="950"/>
      <c r="E69" s="951"/>
      <c r="F69" s="1144"/>
      <c r="G69" s="26"/>
      <c r="H69" s="715" t="s">
        <v>5</v>
      </c>
      <c r="I69" s="715"/>
      <c r="J69" s="954"/>
      <c r="K69" s="955"/>
      <c r="L69" s="1138"/>
      <c r="M69" s="27"/>
      <c r="N69" s="786" t="s">
        <v>5</v>
      </c>
      <c r="O69" s="786"/>
      <c r="P69" s="960"/>
      <c r="Q69" s="961"/>
      <c r="R69" s="1144"/>
      <c r="S69" s="28"/>
      <c r="T69" s="784" t="s">
        <v>5</v>
      </c>
      <c r="U69" s="784"/>
      <c r="V69" s="941"/>
      <c r="W69" s="942"/>
    </row>
    <row r="70" spans="1:23" x14ac:dyDescent="0.25">
      <c r="A70" s="30">
        <f>G50+J6+L5</f>
        <v>0.45694444444444426</v>
      </c>
      <c r="B70" s="31" t="str">
        <f>B64</f>
        <v>Equipe 1</v>
      </c>
      <c r="C70" s="31" t="str">
        <f>B65</f>
        <v>Equipe 6</v>
      </c>
      <c r="D70" s="952"/>
      <c r="E70" s="953"/>
      <c r="F70" s="1144"/>
      <c r="G70" s="32">
        <f>A70</f>
        <v>0.45694444444444426</v>
      </c>
      <c r="H70" s="33" t="str">
        <f>H64</f>
        <v>Equipe 2</v>
      </c>
      <c r="I70" s="33" t="str">
        <f>H65</f>
        <v>Equipe 7</v>
      </c>
      <c r="J70" s="956"/>
      <c r="K70" s="957"/>
      <c r="L70" s="1138"/>
      <c r="M70" s="34">
        <f>A70</f>
        <v>0.45694444444444426</v>
      </c>
      <c r="N70" s="35" t="str">
        <f>N64</f>
        <v>Equipe 3</v>
      </c>
      <c r="O70" s="35" t="str">
        <f>N65</f>
        <v>Equipe 8</v>
      </c>
      <c r="P70" s="962"/>
      <c r="Q70" s="963"/>
      <c r="R70" s="1144"/>
      <c r="S70" s="36">
        <f>G70</f>
        <v>0.45694444444444426</v>
      </c>
      <c r="T70" s="37" t="str">
        <f>T64</f>
        <v>Equipe 4</v>
      </c>
      <c r="U70" s="37" t="str">
        <f>T65</f>
        <v>Equipe 5</v>
      </c>
      <c r="V70" s="943"/>
      <c r="W70" s="944"/>
    </row>
    <row r="71" spans="1:23" ht="15.75" thickBot="1" x14ac:dyDescent="0.3">
      <c r="A71" s="38">
        <f>A70+$J$61+R5</f>
        <v>0.46736111111111089</v>
      </c>
      <c r="B71" s="39" t="str">
        <f>B66</f>
        <v>Equipe 11</v>
      </c>
      <c r="C71" s="39" t="str">
        <f>B67</f>
        <v>Equipe 16</v>
      </c>
      <c r="D71" s="972"/>
      <c r="E71" s="973"/>
      <c r="F71" s="1144"/>
      <c r="G71" s="40">
        <f>G70+$J$61+R5</f>
        <v>0.46736111111111089</v>
      </c>
      <c r="H71" s="41" t="str">
        <f>H66</f>
        <v>Equipe 12</v>
      </c>
      <c r="I71" s="41" t="str">
        <f>H67</f>
        <v>Equipe 13</v>
      </c>
      <c r="J71" s="958"/>
      <c r="K71" s="959"/>
      <c r="L71" s="1138"/>
      <c r="M71" s="42">
        <f>A71</f>
        <v>0.46736111111111089</v>
      </c>
      <c r="N71" s="43" t="str">
        <f>N66</f>
        <v>Equipe 9</v>
      </c>
      <c r="O71" s="43" t="str">
        <f>N67</f>
        <v>Equipe 14</v>
      </c>
      <c r="P71" s="964"/>
      <c r="Q71" s="965"/>
      <c r="R71" s="1144"/>
      <c r="S71" s="44">
        <f>G71</f>
        <v>0.46736111111111089</v>
      </c>
      <c r="T71" s="45" t="str">
        <f>T66</f>
        <v>Equipe 10</v>
      </c>
      <c r="U71" s="45" t="str">
        <f>T67</f>
        <v>Equipe 15</v>
      </c>
      <c r="V71" s="945"/>
      <c r="W71" s="946"/>
    </row>
    <row r="72" spans="1:23" ht="5.0999999999999996" customHeight="1" thickBot="1" x14ac:dyDescent="0.3">
      <c r="A72" s="19"/>
      <c r="B72" s="2"/>
      <c r="C72" s="2"/>
      <c r="D72" s="521"/>
      <c r="E72" s="522"/>
      <c r="F72" s="1144"/>
      <c r="G72" s="19"/>
      <c r="H72" s="2"/>
      <c r="I72" s="47"/>
      <c r="J72" s="521"/>
      <c r="K72" s="522"/>
      <c r="L72" s="1138"/>
      <c r="M72" s="19"/>
      <c r="N72" s="2"/>
      <c r="O72" s="2"/>
      <c r="P72" s="521"/>
      <c r="Q72" s="522"/>
      <c r="R72" s="1144"/>
      <c r="S72" s="19"/>
      <c r="T72" s="2"/>
      <c r="U72" s="2"/>
      <c r="V72" s="521"/>
      <c r="W72" s="522"/>
    </row>
    <row r="73" spans="1:23" s="29" customFormat="1" x14ac:dyDescent="0.25">
      <c r="A73" s="24"/>
      <c r="B73" s="713" t="s">
        <v>6</v>
      </c>
      <c r="C73" s="713"/>
      <c r="D73" s="950"/>
      <c r="E73" s="951"/>
      <c r="F73" s="1144"/>
      <c r="G73" s="26"/>
      <c r="H73" s="715" t="s">
        <v>6</v>
      </c>
      <c r="I73" s="715"/>
      <c r="J73" s="954"/>
      <c r="K73" s="955"/>
      <c r="L73" s="1138"/>
      <c r="M73" s="27"/>
      <c r="N73" s="786" t="s">
        <v>6</v>
      </c>
      <c r="O73" s="786"/>
      <c r="P73" s="960"/>
      <c r="Q73" s="961"/>
      <c r="R73" s="1144"/>
      <c r="S73" s="28"/>
      <c r="T73" s="784" t="s">
        <v>6</v>
      </c>
      <c r="U73" s="784"/>
      <c r="V73" s="941"/>
      <c r="W73" s="942"/>
    </row>
    <row r="74" spans="1:23" x14ac:dyDescent="0.25">
      <c r="A74" s="30">
        <f>G71+$J$61+R5</f>
        <v>0.47777777777777752</v>
      </c>
      <c r="B74" s="31" t="str">
        <f>B64</f>
        <v>Equipe 1</v>
      </c>
      <c r="C74" s="31" t="str">
        <f>B66</f>
        <v>Equipe 11</v>
      </c>
      <c r="D74" s="952"/>
      <c r="E74" s="953"/>
      <c r="F74" s="1144"/>
      <c r="G74" s="32">
        <f>A74</f>
        <v>0.47777777777777752</v>
      </c>
      <c r="H74" s="33" t="str">
        <f>H64</f>
        <v>Equipe 2</v>
      </c>
      <c r="I74" s="33" t="str">
        <f>H66</f>
        <v>Equipe 12</v>
      </c>
      <c r="J74" s="956"/>
      <c r="K74" s="957"/>
      <c r="L74" s="1138"/>
      <c r="M74" s="34">
        <f>A74</f>
        <v>0.47777777777777752</v>
      </c>
      <c r="N74" s="35" t="str">
        <f>N64</f>
        <v>Equipe 3</v>
      </c>
      <c r="O74" s="35" t="str">
        <f>N66</f>
        <v>Equipe 9</v>
      </c>
      <c r="P74" s="962"/>
      <c r="Q74" s="963"/>
      <c r="R74" s="1144"/>
      <c r="S74" s="36">
        <f>G74</f>
        <v>0.47777777777777752</v>
      </c>
      <c r="T74" s="37" t="str">
        <f>T64</f>
        <v>Equipe 4</v>
      </c>
      <c r="U74" s="37" t="str">
        <f>T66</f>
        <v>Equipe 10</v>
      </c>
      <c r="V74" s="943"/>
      <c r="W74" s="944"/>
    </row>
    <row r="75" spans="1:23" ht="15.75" thickBot="1" x14ac:dyDescent="0.3">
      <c r="A75" s="38">
        <f>A74+$J$61+R5</f>
        <v>0.48819444444444415</v>
      </c>
      <c r="B75" s="39" t="str">
        <f>B65</f>
        <v>Equipe 6</v>
      </c>
      <c r="C75" s="39" t="str">
        <f>B67</f>
        <v>Equipe 16</v>
      </c>
      <c r="D75" s="972"/>
      <c r="E75" s="973"/>
      <c r="F75" s="1144"/>
      <c r="G75" s="40">
        <f>G74+$J$61+R5</f>
        <v>0.48819444444444415</v>
      </c>
      <c r="H75" s="41" t="str">
        <f>H65</f>
        <v>Equipe 7</v>
      </c>
      <c r="I75" s="41" t="str">
        <f>H67</f>
        <v>Equipe 13</v>
      </c>
      <c r="J75" s="958"/>
      <c r="K75" s="959"/>
      <c r="L75" s="1138"/>
      <c r="M75" s="42">
        <f>A75</f>
        <v>0.48819444444444415</v>
      </c>
      <c r="N75" s="43" t="str">
        <f>N65</f>
        <v>Equipe 8</v>
      </c>
      <c r="O75" s="43" t="str">
        <f>N67</f>
        <v>Equipe 14</v>
      </c>
      <c r="P75" s="964"/>
      <c r="Q75" s="965"/>
      <c r="R75" s="1144"/>
      <c r="S75" s="44">
        <f>G75</f>
        <v>0.48819444444444415</v>
      </c>
      <c r="T75" s="45" t="str">
        <f>T65</f>
        <v>Equipe 5</v>
      </c>
      <c r="U75" s="45" t="str">
        <f>T67</f>
        <v>Equipe 15</v>
      </c>
      <c r="V75" s="945"/>
      <c r="W75" s="946"/>
    </row>
    <row r="76" spans="1:23" ht="5.0999999999999996" customHeight="1" thickBot="1" x14ac:dyDescent="0.3">
      <c r="A76" s="19"/>
      <c r="B76" s="2"/>
      <c r="C76" s="2"/>
      <c r="D76" s="521"/>
      <c r="E76" s="522"/>
      <c r="F76" s="1144"/>
      <c r="G76" s="19"/>
      <c r="H76" s="2"/>
      <c r="I76" s="47"/>
      <c r="J76" s="521"/>
      <c r="K76" s="522"/>
      <c r="L76" s="1138"/>
      <c r="M76" s="19"/>
      <c r="N76" s="2"/>
      <c r="O76" s="2"/>
      <c r="P76" s="521"/>
      <c r="Q76" s="522"/>
      <c r="R76" s="1144"/>
      <c r="S76" s="19"/>
      <c r="T76" s="2"/>
      <c r="U76" s="2"/>
      <c r="V76" s="521"/>
      <c r="W76" s="522"/>
    </row>
    <row r="77" spans="1:23" s="29" customFormat="1" x14ac:dyDescent="0.25">
      <c r="A77" s="24"/>
      <c r="B77" s="713" t="s">
        <v>7</v>
      </c>
      <c r="C77" s="713"/>
      <c r="D77" s="950"/>
      <c r="E77" s="951"/>
      <c r="F77" s="1144"/>
      <c r="G77" s="26"/>
      <c r="H77" s="715" t="s">
        <v>7</v>
      </c>
      <c r="I77" s="715"/>
      <c r="J77" s="954"/>
      <c r="K77" s="955"/>
      <c r="L77" s="1138"/>
      <c r="M77" s="27"/>
      <c r="N77" s="786" t="s">
        <v>7</v>
      </c>
      <c r="O77" s="786"/>
      <c r="P77" s="960"/>
      <c r="Q77" s="961"/>
      <c r="R77" s="1144"/>
      <c r="S77" s="28"/>
      <c r="T77" s="784" t="s">
        <v>7</v>
      </c>
      <c r="U77" s="784"/>
      <c r="V77" s="941"/>
      <c r="W77" s="942"/>
    </row>
    <row r="78" spans="1:23" x14ac:dyDescent="0.25">
      <c r="A78" s="30">
        <f>G75+$J$61+R5</f>
        <v>0.49861111111111078</v>
      </c>
      <c r="B78" s="31" t="str">
        <f>B64</f>
        <v>Equipe 1</v>
      </c>
      <c r="C78" s="31" t="str">
        <f>B67</f>
        <v>Equipe 16</v>
      </c>
      <c r="D78" s="952"/>
      <c r="E78" s="953"/>
      <c r="F78" s="1144"/>
      <c r="G78" s="32">
        <f>A78</f>
        <v>0.49861111111111078</v>
      </c>
      <c r="H78" s="33" t="str">
        <f>H64</f>
        <v>Equipe 2</v>
      </c>
      <c r="I78" s="33" t="str">
        <f>H67</f>
        <v>Equipe 13</v>
      </c>
      <c r="J78" s="956"/>
      <c r="K78" s="957"/>
      <c r="L78" s="1138"/>
      <c r="M78" s="34">
        <f>A78</f>
        <v>0.49861111111111078</v>
      </c>
      <c r="N78" s="35" t="str">
        <f>N64</f>
        <v>Equipe 3</v>
      </c>
      <c r="O78" s="35" t="str">
        <f>N67</f>
        <v>Equipe 14</v>
      </c>
      <c r="P78" s="962"/>
      <c r="Q78" s="963"/>
      <c r="R78" s="1144"/>
      <c r="S78" s="36">
        <f>G78</f>
        <v>0.49861111111111078</v>
      </c>
      <c r="T78" s="37" t="str">
        <f>T64</f>
        <v>Equipe 4</v>
      </c>
      <c r="U78" s="37" t="str">
        <f>T67</f>
        <v>Equipe 15</v>
      </c>
      <c r="V78" s="943"/>
      <c r="W78" s="944"/>
    </row>
    <row r="79" spans="1:23" ht="15.75" thickBot="1" x14ac:dyDescent="0.3">
      <c r="A79" s="38">
        <f>A78+$J$61+R5</f>
        <v>0.50902777777777741</v>
      </c>
      <c r="B79" s="39" t="str">
        <f>B65</f>
        <v>Equipe 6</v>
      </c>
      <c r="C79" s="39" t="str">
        <f>B66</f>
        <v>Equipe 11</v>
      </c>
      <c r="D79" s="972"/>
      <c r="E79" s="973"/>
      <c r="F79" s="1144"/>
      <c r="G79" s="40">
        <f>G78+$J$61+R5</f>
        <v>0.50902777777777741</v>
      </c>
      <c r="H79" s="41" t="str">
        <f>H65</f>
        <v>Equipe 7</v>
      </c>
      <c r="I79" s="41" t="str">
        <f>H66</f>
        <v>Equipe 12</v>
      </c>
      <c r="J79" s="958"/>
      <c r="K79" s="959"/>
      <c r="L79" s="1138"/>
      <c r="M79" s="42">
        <f>A79</f>
        <v>0.50902777777777741</v>
      </c>
      <c r="N79" s="43" t="str">
        <f>N65</f>
        <v>Equipe 8</v>
      </c>
      <c r="O79" s="43" t="str">
        <f>N66</f>
        <v>Equipe 9</v>
      </c>
      <c r="P79" s="964"/>
      <c r="Q79" s="965"/>
      <c r="R79" s="1144"/>
      <c r="S79" s="44">
        <f>G79</f>
        <v>0.50902777777777741</v>
      </c>
      <c r="T79" s="45" t="str">
        <f>T65</f>
        <v>Equipe 5</v>
      </c>
      <c r="U79" s="45" t="str">
        <f>T66</f>
        <v>Equipe 10</v>
      </c>
      <c r="V79" s="945"/>
      <c r="W79" s="946"/>
    </row>
    <row r="80" spans="1:23" ht="16.5" thickBot="1" x14ac:dyDescent="0.3">
      <c r="A80" s="1151"/>
      <c r="B80" s="1152"/>
      <c r="C80" s="1152"/>
      <c r="D80" s="1152"/>
      <c r="E80" s="1152"/>
      <c r="F80" s="1153"/>
      <c r="G80" s="1152"/>
      <c r="H80" s="1152"/>
      <c r="I80" s="1152"/>
      <c r="J80" s="1152"/>
      <c r="K80" s="1152"/>
      <c r="L80" s="576"/>
      <c r="M80" s="1152"/>
      <c r="N80" s="1152"/>
      <c r="O80" s="1152"/>
      <c r="P80" s="1152"/>
      <c r="Q80" s="1152"/>
      <c r="R80" s="1153"/>
      <c r="S80" s="1152"/>
      <c r="T80" s="1152"/>
      <c r="U80" s="1152"/>
      <c r="V80" s="1152"/>
      <c r="W80" s="1154"/>
    </row>
    <row r="81" spans="1:24" ht="16.5" thickBot="1" x14ac:dyDescent="0.3">
      <c r="A81" s="780" t="s">
        <v>323</v>
      </c>
      <c r="B81" s="686"/>
      <c r="C81" s="686"/>
      <c r="D81" s="686"/>
      <c r="E81" s="781"/>
      <c r="F81" s="1144"/>
      <c r="G81" s="780" t="s">
        <v>324</v>
      </c>
      <c r="H81" s="686"/>
      <c r="I81" s="686"/>
      <c r="J81" s="686"/>
      <c r="K81" s="781"/>
      <c r="L81" s="1138"/>
      <c r="M81" s="780" t="s">
        <v>325</v>
      </c>
      <c r="N81" s="686"/>
      <c r="O81" s="686"/>
      <c r="P81" s="686"/>
      <c r="Q81" s="781"/>
      <c r="R81" s="1144"/>
      <c r="S81" s="780" t="s">
        <v>326</v>
      </c>
      <c r="T81" s="686"/>
      <c r="U81" s="686"/>
      <c r="V81" s="686"/>
      <c r="W81" s="781"/>
    </row>
    <row r="82" spans="1:24" x14ac:dyDescent="0.25">
      <c r="A82" s="9"/>
      <c r="B82" s="807" t="s">
        <v>91</v>
      </c>
      <c r="C82" s="808"/>
      <c r="D82" s="966"/>
      <c r="E82" s="967"/>
      <c r="F82" s="1144"/>
      <c r="G82" s="8"/>
      <c r="H82" s="804" t="s">
        <v>92</v>
      </c>
      <c r="I82" s="805"/>
      <c r="J82" s="986"/>
      <c r="K82" s="987"/>
      <c r="L82" s="1138"/>
      <c r="M82" s="7"/>
      <c r="N82" s="747" t="s">
        <v>264</v>
      </c>
      <c r="O82" s="748"/>
      <c r="P82" s="980"/>
      <c r="Q82" s="981"/>
      <c r="R82" s="1144"/>
      <c r="S82" s="6"/>
      <c r="T82" s="744" t="s">
        <v>327</v>
      </c>
      <c r="U82" s="745"/>
      <c r="V82" s="974"/>
      <c r="W82" s="975"/>
    </row>
    <row r="83" spans="1:24" ht="16.350000000000001" customHeight="1" x14ac:dyDescent="0.25">
      <c r="A83" s="13">
        <v>1</v>
      </c>
      <c r="B83" s="835" t="str">
        <f>B35</f>
        <v>Equipe 17</v>
      </c>
      <c r="C83" s="836"/>
      <c r="D83" s="968"/>
      <c r="E83" s="969"/>
      <c r="F83" s="1144"/>
      <c r="G83" s="12">
        <v>1</v>
      </c>
      <c r="H83" s="844" t="str">
        <f>B36</f>
        <v>Equipe 18</v>
      </c>
      <c r="I83" s="845"/>
      <c r="J83" s="988"/>
      <c r="K83" s="989"/>
      <c r="L83" s="1138"/>
      <c r="M83" s="11">
        <v>1</v>
      </c>
      <c r="N83" s="907" t="str">
        <f>B37</f>
        <v>Equipe 19</v>
      </c>
      <c r="O83" s="934"/>
      <c r="P83" s="982"/>
      <c r="Q83" s="983"/>
      <c r="R83" s="1144"/>
      <c r="S83" s="10">
        <v>1</v>
      </c>
      <c r="T83" s="905" t="str">
        <f>B38</f>
        <v>Equipe 20</v>
      </c>
      <c r="U83" s="933"/>
      <c r="V83" s="976"/>
      <c r="W83" s="977"/>
      <c r="X83" s="74"/>
    </row>
    <row r="84" spans="1:24" ht="16.350000000000001" customHeight="1" x14ac:dyDescent="0.25">
      <c r="A84" s="13">
        <v>2</v>
      </c>
      <c r="B84" s="835" t="str">
        <f>H36</f>
        <v>Equipe 22</v>
      </c>
      <c r="C84" s="836"/>
      <c r="D84" s="968"/>
      <c r="E84" s="969"/>
      <c r="F84" s="1144"/>
      <c r="G84" s="12">
        <v>2</v>
      </c>
      <c r="H84" s="844" t="str">
        <f>H37</f>
        <v>Equipe 23</v>
      </c>
      <c r="I84" s="845"/>
      <c r="J84" s="988"/>
      <c r="K84" s="989"/>
      <c r="L84" s="1138"/>
      <c r="M84" s="11">
        <v>2</v>
      </c>
      <c r="N84" s="907" t="str">
        <f>H38</f>
        <v>Equipe 24</v>
      </c>
      <c r="O84" s="934"/>
      <c r="P84" s="982"/>
      <c r="Q84" s="983"/>
      <c r="R84" s="1144"/>
      <c r="S84" s="10">
        <v>2</v>
      </c>
      <c r="T84" s="905" t="str">
        <f>H35</f>
        <v>Equipe 21</v>
      </c>
      <c r="U84" s="933"/>
      <c r="V84" s="976"/>
      <c r="W84" s="977"/>
      <c r="X84" s="74"/>
    </row>
    <row r="85" spans="1:24" ht="16.350000000000001" customHeight="1" x14ac:dyDescent="0.25">
      <c r="A85" s="13">
        <v>3</v>
      </c>
      <c r="B85" s="835" t="str">
        <f>N37</f>
        <v>Equipe 27</v>
      </c>
      <c r="C85" s="836"/>
      <c r="D85" s="968"/>
      <c r="E85" s="969"/>
      <c r="F85" s="1144"/>
      <c r="G85" s="12">
        <v>3</v>
      </c>
      <c r="H85" s="844" t="str">
        <f>N38</f>
        <v>Equipe 28</v>
      </c>
      <c r="I85" s="845"/>
      <c r="J85" s="988"/>
      <c r="K85" s="989"/>
      <c r="L85" s="1138"/>
      <c r="M85" s="11">
        <v>3</v>
      </c>
      <c r="N85" s="907" t="str">
        <f>N35</f>
        <v>Equipe 25</v>
      </c>
      <c r="O85" s="934"/>
      <c r="P85" s="982"/>
      <c r="Q85" s="983"/>
      <c r="R85" s="1144"/>
      <c r="S85" s="10">
        <v>3</v>
      </c>
      <c r="T85" s="905" t="str">
        <f>N36</f>
        <v>Equipe 26</v>
      </c>
      <c r="U85" s="933"/>
      <c r="V85" s="976"/>
      <c r="W85" s="977"/>
    </row>
    <row r="86" spans="1:24" ht="16.350000000000001" customHeight="1" thickBot="1" x14ac:dyDescent="0.3">
      <c r="A86" s="18">
        <v>4</v>
      </c>
      <c r="B86" s="837" t="str">
        <f>T38</f>
        <v>Equipe 32</v>
      </c>
      <c r="C86" s="838"/>
      <c r="D86" s="970"/>
      <c r="E86" s="971"/>
      <c r="F86" s="1144"/>
      <c r="G86" s="17">
        <v>4</v>
      </c>
      <c r="H86" s="846" t="str">
        <f>T35</f>
        <v>Equipe 29</v>
      </c>
      <c r="I86" s="847"/>
      <c r="J86" s="990"/>
      <c r="K86" s="991"/>
      <c r="L86" s="1138"/>
      <c r="M86" s="16">
        <v>4</v>
      </c>
      <c r="N86" s="903" t="str">
        <f>T36</f>
        <v>Equipe 30</v>
      </c>
      <c r="O86" s="940"/>
      <c r="P86" s="984"/>
      <c r="Q86" s="985"/>
      <c r="R86" s="1144"/>
      <c r="S86" s="15">
        <v>4</v>
      </c>
      <c r="T86" s="901" t="str">
        <f>T37</f>
        <v>Equipe 31</v>
      </c>
      <c r="U86" s="939"/>
      <c r="V86" s="978"/>
      <c r="W86" s="979"/>
    </row>
    <row r="87" spans="1:24" ht="5.0999999999999996" customHeight="1" thickBot="1" x14ac:dyDescent="0.3">
      <c r="A87" s="19"/>
      <c r="B87" s="2"/>
      <c r="C87" s="2"/>
      <c r="D87" s="2"/>
      <c r="E87" s="21"/>
      <c r="F87" s="1144"/>
      <c r="G87" s="19"/>
      <c r="H87" s="2"/>
      <c r="I87" s="22"/>
      <c r="J87" s="2"/>
      <c r="K87" s="21"/>
      <c r="L87" s="1138"/>
      <c r="M87" s="19"/>
      <c r="N87" s="2"/>
      <c r="O87" s="2"/>
      <c r="P87" s="2"/>
      <c r="Q87" s="21"/>
      <c r="R87" s="1144"/>
      <c r="S87" s="19"/>
      <c r="T87" s="2"/>
      <c r="U87" s="2"/>
      <c r="V87" s="2"/>
      <c r="W87" s="21"/>
    </row>
    <row r="88" spans="1:24" x14ac:dyDescent="0.25">
      <c r="A88" s="28"/>
      <c r="B88" s="784" t="s">
        <v>5</v>
      </c>
      <c r="C88" s="784"/>
      <c r="D88" s="941"/>
      <c r="E88" s="942"/>
      <c r="F88" s="1144"/>
      <c r="G88" s="27"/>
      <c r="H88" s="786" t="s">
        <v>5</v>
      </c>
      <c r="I88" s="786"/>
      <c r="J88" s="960"/>
      <c r="K88" s="961"/>
      <c r="L88" s="1138"/>
      <c r="M88" s="26"/>
      <c r="N88" s="715" t="s">
        <v>5</v>
      </c>
      <c r="O88" s="715"/>
      <c r="P88" s="954"/>
      <c r="Q88" s="955"/>
      <c r="R88" s="1144"/>
      <c r="S88" s="24"/>
      <c r="T88" s="713" t="s">
        <v>5</v>
      </c>
      <c r="U88" s="713"/>
      <c r="V88" s="950"/>
      <c r="W88" s="951"/>
    </row>
    <row r="89" spans="1:24" ht="14.45" customHeight="1" x14ac:dyDescent="0.25">
      <c r="A89" s="36">
        <f>A70</f>
        <v>0.45694444444444426</v>
      </c>
      <c r="B89" s="37" t="str">
        <f>B83</f>
        <v>Equipe 17</v>
      </c>
      <c r="C89" s="37" t="str">
        <f>B84</f>
        <v>Equipe 22</v>
      </c>
      <c r="D89" s="943"/>
      <c r="E89" s="944"/>
      <c r="F89" s="1144"/>
      <c r="G89" s="34">
        <f>A89</f>
        <v>0.45694444444444426</v>
      </c>
      <c r="H89" s="35" t="str">
        <f>H83</f>
        <v>Equipe 18</v>
      </c>
      <c r="I89" s="35" t="str">
        <f>H84</f>
        <v>Equipe 23</v>
      </c>
      <c r="J89" s="962"/>
      <c r="K89" s="963"/>
      <c r="L89" s="1138"/>
      <c r="M89" s="32">
        <f>A89</f>
        <v>0.45694444444444426</v>
      </c>
      <c r="N89" s="33" t="str">
        <f>N83</f>
        <v>Equipe 19</v>
      </c>
      <c r="O89" s="33" t="str">
        <f>N84</f>
        <v>Equipe 24</v>
      </c>
      <c r="P89" s="956"/>
      <c r="Q89" s="957"/>
      <c r="R89" s="1144"/>
      <c r="S89" s="30">
        <f>G89</f>
        <v>0.45694444444444426</v>
      </c>
      <c r="T89" s="31" t="str">
        <f>T83</f>
        <v>Equipe 20</v>
      </c>
      <c r="U89" s="31" t="str">
        <f>T84</f>
        <v>Equipe 21</v>
      </c>
      <c r="V89" s="952"/>
      <c r="W89" s="953"/>
    </row>
    <row r="90" spans="1:24" ht="14.45" customHeight="1" thickBot="1" x14ac:dyDescent="0.3">
      <c r="A90" s="44">
        <f>A89+$J$61+R5</f>
        <v>0.46736111111111089</v>
      </c>
      <c r="B90" s="45" t="str">
        <f>B85</f>
        <v>Equipe 27</v>
      </c>
      <c r="C90" s="45" t="str">
        <f>B86</f>
        <v>Equipe 32</v>
      </c>
      <c r="D90" s="945"/>
      <c r="E90" s="946"/>
      <c r="F90" s="1144"/>
      <c r="G90" s="42">
        <f>G89+$J$61+R5</f>
        <v>0.46736111111111089</v>
      </c>
      <c r="H90" s="43" t="str">
        <f>H85</f>
        <v>Equipe 28</v>
      </c>
      <c r="I90" s="43" t="str">
        <f>H86</f>
        <v>Equipe 29</v>
      </c>
      <c r="J90" s="964"/>
      <c r="K90" s="965"/>
      <c r="L90" s="1138"/>
      <c r="M90" s="40">
        <f>A90</f>
        <v>0.46736111111111089</v>
      </c>
      <c r="N90" s="41" t="str">
        <f>N85</f>
        <v>Equipe 25</v>
      </c>
      <c r="O90" s="41" t="str">
        <f>N86</f>
        <v>Equipe 30</v>
      </c>
      <c r="P90" s="958"/>
      <c r="Q90" s="959"/>
      <c r="R90" s="1144"/>
      <c r="S90" s="38">
        <f>G90</f>
        <v>0.46736111111111089</v>
      </c>
      <c r="T90" s="39" t="str">
        <f>T85</f>
        <v>Equipe 26</v>
      </c>
      <c r="U90" s="39" t="str">
        <f>T86</f>
        <v>Equipe 31</v>
      </c>
      <c r="V90" s="972"/>
      <c r="W90" s="973"/>
    </row>
    <row r="91" spans="1:24" ht="5.0999999999999996" customHeight="1" thickBot="1" x14ac:dyDescent="0.3">
      <c r="A91" s="19"/>
      <c r="B91" s="2"/>
      <c r="C91" s="2"/>
      <c r="D91" s="521"/>
      <c r="E91" s="522"/>
      <c r="F91" s="1144"/>
      <c r="G91" s="19"/>
      <c r="H91" s="2"/>
      <c r="I91" s="47"/>
      <c r="J91" s="521"/>
      <c r="K91" s="522"/>
      <c r="L91" s="1138"/>
      <c r="M91" s="19"/>
      <c r="N91" s="2"/>
      <c r="O91" s="2"/>
      <c r="P91" s="521"/>
      <c r="Q91" s="522"/>
      <c r="R91" s="1144"/>
      <c r="S91" s="571"/>
      <c r="T91" s="566"/>
      <c r="U91" s="566"/>
      <c r="V91" s="521"/>
      <c r="W91" s="522"/>
    </row>
    <row r="92" spans="1:24" x14ac:dyDescent="0.25">
      <c r="A92" s="28"/>
      <c r="B92" s="784" t="s">
        <v>6</v>
      </c>
      <c r="C92" s="784"/>
      <c r="D92" s="941"/>
      <c r="E92" s="942"/>
      <c r="F92" s="1144"/>
      <c r="G92" s="27"/>
      <c r="H92" s="786" t="s">
        <v>6</v>
      </c>
      <c r="I92" s="786"/>
      <c r="J92" s="960"/>
      <c r="K92" s="961"/>
      <c r="L92" s="1138"/>
      <c r="M92" s="26"/>
      <c r="N92" s="715" t="s">
        <v>6</v>
      </c>
      <c r="O92" s="715"/>
      <c r="P92" s="954"/>
      <c r="Q92" s="955"/>
      <c r="R92" s="1144"/>
      <c r="S92" s="24"/>
      <c r="T92" s="713" t="s">
        <v>6</v>
      </c>
      <c r="U92" s="713"/>
      <c r="V92" s="950"/>
      <c r="W92" s="951"/>
    </row>
    <row r="93" spans="1:24" ht="14.45" customHeight="1" x14ac:dyDescent="0.25">
      <c r="A93" s="36">
        <f>G90+$J$61+R5</f>
        <v>0.47777777777777752</v>
      </c>
      <c r="B93" s="37" t="str">
        <f>B83</f>
        <v>Equipe 17</v>
      </c>
      <c r="C93" s="37" t="str">
        <f>B85</f>
        <v>Equipe 27</v>
      </c>
      <c r="D93" s="943"/>
      <c r="E93" s="944"/>
      <c r="F93" s="1144"/>
      <c r="G93" s="34">
        <f>A93</f>
        <v>0.47777777777777752</v>
      </c>
      <c r="H93" s="35" t="str">
        <f>H83</f>
        <v>Equipe 18</v>
      </c>
      <c r="I93" s="35" t="str">
        <f>H85</f>
        <v>Equipe 28</v>
      </c>
      <c r="J93" s="962"/>
      <c r="K93" s="963"/>
      <c r="L93" s="1138"/>
      <c r="M93" s="32">
        <f>A93</f>
        <v>0.47777777777777752</v>
      </c>
      <c r="N93" s="33" t="str">
        <f>N83</f>
        <v>Equipe 19</v>
      </c>
      <c r="O93" s="33" t="str">
        <f>N85</f>
        <v>Equipe 25</v>
      </c>
      <c r="P93" s="956"/>
      <c r="Q93" s="957"/>
      <c r="R93" s="1144"/>
      <c r="S93" s="30">
        <f>G93</f>
        <v>0.47777777777777752</v>
      </c>
      <c r="T93" s="31" t="str">
        <f>T83</f>
        <v>Equipe 20</v>
      </c>
      <c r="U93" s="31" t="str">
        <f>T85</f>
        <v>Equipe 26</v>
      </c>
      <c r="V93" s="952"/>
      <c r="W93" s="953"/>
    </row>
    <row r="94" spans="1:24" ht="14.45" customHeight="1" thickBot="1" x14ac:dyDescent="0.3">
      <c r="A94" s="44">
        <f>A93+$J$61+R5</f>
        <v>0.48819444444444415</v>
      </c>
      <c r="B94" s="45" t="str">
        <f>B84</f>
        <v>Equipe 22</v>
      </c>
      <c r="C94" s="45" t="str">
        <f>B86</f>
        <v>Equipe 32</v>
      </c>
      <c r="D94" s="945"/>
      <c r="E94" s="946"/>
      <c r="F94" s="1144"/>
      <c r="G94" s="42">
        <f>G93+$J$61+R5</f>
        <v>0.48819444444444415</v>
      </c>
      <c r="H94" s="43" t="str">
        <f>H84</f>
        <v>Equipe 23</v>
      </c>
      <c r="I94" s="43" t="str">
        <f>H86</f>
        <v>Equipe 29</v>
      </c>
      <c r="J94" s="964"/>
      <c r="K94" s="965"/>
      <c r="L94" s="1138"/>
      <c r="M94" s="40">
        <f>A94</f>
        <v>0.48819444444444415</v>
      </c>
      <c r="N94" s="41" t="str">
        <f>N84</f>
        <v>Equipe 24</v>
      </c>
      <c r="O94" s="41" t="str">
        <f>N86</f>
        <v>Equipe 30</v>
      </c>
      <c r="P94" s="958"/>
      <c r="Q94" s="959"/>
      <c r="R94" s="1144"/>
      <c r="S94" s="38">
        <f>G94</f>
        <v>0.48819444444444415</v>
      </c>
      <c r="T94" s="39" t="str">
        <f>T84</f>
        <v>Equipe 21</v>
      </c>
      <c r="U94" s="39" t="str">
        <f>T86</f>
        <v>Equipe 31</v>
      </c>
      <c r="V94" s="972"/>
      <c r="W94" s="973"/>
    </row>
    <row r="95" spans="1:24" ht="5.0999999999999996" customHeight="1" thickBot="1" x14ac:dyDescent="0.3">
      <c r="A95" s="19"/>
      <c r="B95" s="2"/>
      <c r="C95" s="2"/>
      <c r="D95" s="521"/>
      <c r="E95" s="522"/>
      <c r="F95" s="1144"/>
      <c r="G95" s="19"/>
      <c r="H95" s="2"/>
      <c r="I95" s="47"/>
      <c r="J95" s="521"/>
      <c r="K95" s="522"/>
      <c r="L95" s="1138"/>
      <c r="M95" s="19"/>
      <c r="N95" s="2"/>
      <c r="O95" s="2"/>
      <c r="P95" s="521"/>
      <c r="Q95" s="522"/>
      <c r="R95" s="1144"/>
      <c r="S95" s="571"/>
      <c r="T95" s="566"/>
      <c r="U95" s="566"/>
      <c r="V95" s="521"/>
      <c r="W95" s="522"/>
    </row>
    <row r="96" spans="1:24" ht="14.45" customHeight="1" x14ac:dyDescent="0.25">
      <c r="A96" s="28"/>
      <c r="B96" s="784" t="s">
        <v>7</v>
      </c>
      <c r="C96" s="784"/>
      <c r="D96" s="941"/>
      <c r="E96" s="942"/>
      <c r="F96" s="1144"/>
      <c r="G96" s="27"/>
      <c r="H96" s="786" t="s">
        <v>7</v>
      </c>
      <c r="I96" s="786"/>
      <c r="J96" s="960"/>
      <c r="K96" s="961"/>
      <c r="L96" s="1138"/>
      <c r="M96" s="26"/>
      <c r="N96" s="715" t="s">
        <v>7</v>
      </c>
      <c r="O96" s="715"/>
      <c r="P96" s="954"/>
      <c r="Q96" s="955"/>
      <c r="R96" s="1144"/>
      <c r="S96" s="24"/>
      <c r="T96" s="713" t="s">
        <v>7</v>
      </c>
      <c r="U96" s="713"/>
      <c r="V96" s="950"/>
      <c r="W96" s="951"/>
    </row>
    <row r="97" spans="1:23" ht="14.45" customHeight="1" x14ac:dyDescent="0.25">
      <c r="A97" s="36">
        <f>G94+$J$61+R5</f>
        <v>0.49861111111111078</v>
      </c>
      <c r="B97" s="37" t="str">
        <f>B83</f>
        <v>Equipe 17</v>
      </c>
      <c r="C97" s="37" t="str">
        <f>B86</f>
        <v>Equipe 32</v>
      </c>
      <c r="D97" s="943"/>
      <c r="E97" s="944"/>
      <c r="F97" s="1144"/>
      <c r="G97" s="133">
        <f>A97</f>
        <v>0.49861111111111078</v>
      </c>
      <c r="H97" s="134" t="str">
        <f>H83</f>
        <v>Equipe 18</v>
      </c>
      <c r="I97" s="134" t="str">
        <f>H86</f>
        <v>Equipe 29</v>
      </c>
      <c r="J97" s="962"/>
      <c r="K97" s="963"/>
      <c r="L97" s="1138"/>
      <c r="M97" s="32">
        <f>A97</f>
        <v>0.49861111111111078</v>
      </c>
      <c r="N97" s="33" t="str">
        <f>N83</f>
        <v>Equipe 19</v>
      </c>
      <c r="O97" s="33" t="str">
        <f>N86</f>
        <v>Equipe 30</v>
      </c>
      <c r="P97" s="956"/>
      <c r="Q97" s="957"/>
      <c r="R97" s="1144"/>
      <c r="S97" s="30">
        <f>G97</f>
        <v>0.49861111111111078</v>
      </c>
      <c r="T97" s="31" t="str">
        <f>T83</f>
        <v>Equipe 20</v>
      </c>
      <c r="U97" s="31" t="str">
        <f>T86</f>
        <v>Equipe 31</v>
      </c>
      <c r="V97" s="952"/>
      <c r="W97" s="953"/>
    </row>
    <row r="98" spans="1:23" ht="15.75" thickBot="1" x14ac:dyDescent="0.3">
      <c r="A98" s="44">
        <f>A97+$J$61+R5</f>
        <v>0.50902777777777741</v>
      </c>
      <c r="B98" s="45" t="str">
        <f>B84</f>
        <v>Equipe 22</v>
      </c>
      <c r="C98" s="45" t="str">
        <f>B85</f>
        <v>Equipe 27</v>
      </c>
      <c r="D98" s="945"/>
      <c r="E98" s="946"/>
      <c r="F98" s="1145"/>
      <c r="G98" s="42">
        <f>G97+$J$61+R5</f>
        <v>0.50902777777777741</v>
      </c>
      <c r="H98" s="43" t="str">
        <f>H84</f>
        <v>Equipe 23</v>
      </c>
      <c r="I98" s="43" t="str">
        <f>H85</f>
        <v>Equipe 28</v>
      </c>
      <c r="J98" s="964"/>
      <c r="K98" s="965"/>
      <c r="L98" s="89"/>
      <c r="M98" s="40">
        <f>A98</f>
        <v>0.50902777777777741</v>
      </c>
      <c r="N98" s="41" t="str">
        <f>N84</f>
        <v>Equipe 24</v>
      </c>
      <c r="O98" s="41" t="str">
        <f>N85</f>
        <v>Equipe 25</v>
      </c>
      <c r="P98" s="958"/>
      <c r="Q98" s="959"/>
      <c r="R98" s="1145"/>
      <c r="S98" s="38">
        <f>G98</f>
        <v>0.50902777777777741</v>
      </c>
      <c r="T98" s="39" t="str">
        <f>T84</f>
        <v>Equipe 21</v>
      </c>
      <c r="U98" s="39" t="str">
        <f>T85</f>
        <v>Equipe 26</v>
      </c>
      <c r="V98" s="972"/>
      <c r="W98" s="973"/>
    </row>
    <row r="99" spans="1:23" x14ac:dyDescent="0.25">
      <c r="A99" s="771" t="s">
        <v>343</v>
      </c>
      <c r="B99" s="771"/>
      <c r="C99" s="771"/>
      <c r="D99" s="771"/>
      <c r="E99" s="771"/>
      <c r="F99" s="771"/>
      <c r="G99" s="771"/>
      <c r="H99" s="771"/>
      <c r="I99" s="771"/>
      <c r="J99" s="771"/>
      <c r="K99" s="771"/>
      <c r="L99" s="771"/>
      <c r="M99" s="771"/>
      <c r="N99" s="771"/>
      <c r="O99" s="771"/>
      <c r="P99" s="771"/>
      <c r="Q99" s="771"/>
      <c r="R99" s="771"/>
      <c r="S99" s="771"/>
      <c r="T99" s="771"/>
      <c r="U99" s="771"/>
      <c r="V99" s="771"/>
      <c r="W99" s="771"/>
    </row>
    <row r="100" spans="1:23" hidden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6.5" hidden="1" thickBot="1" x14ac:dyDescent="0.3">
      <c r="A101" s="670" t="s">
        <v>49</v>
      </c>
      <c r="B101" s="671"/>
      <c r="C101" s="671"/>
      <c r="D101" s="671"/>
      <c r="E101" s="671"/>
      <c r="F101" s="671"/>
      <c r="G101" s="671"/>
      <c r="H101" s="671"/>
      <c r="I101" s="671"/>
      <c r="J101" s="671"/>
      <c r="K101" s="671"/>
      <c r="L101" s="671"/>
      <c r="M101" s="671"/>
      <c r="N101" s="671"/>
      <c r="O101" s="671"/>
      <c r="P101" s="671"/>
      <c r="Q101" s="671"/>
      <c r="R101" s="671"/>
      <c r="S101" s="671"/>
      <c r="T101" s="671"/>
      <c r="U101" s="671"/>
      <c r="V101" s="671"/>
      <c r="W101" s="672"/>
    </row>
    <row r="102" spans="1:23" hidden="1" x14ac:dyDescent="0.25">
      <c r="A102" s="96"/>
      <c r="B102" s="711" t="s">
        <v>1</v>
      </c>
      <c r="C102" s="711"/>
      <c r="D102" s="711" t="s">
        <v>15</v>
      </c>
      <c r="E102" s="772"/>
      <c r="F102" s="773"/>
      <c r="G102" s="121"/>
      <c r="H102" s="711" t="s">
        <v>2</v>
      </c>
      <c r="I102" s="711"/>
      <c r="J102" s="711" t="s">
        <v>15</v>
      </c>
      <c r="K102" s="772"/>
      <c r="L102" s="75"/>
      <c r="M102" s="121"/>
      <c r="N102" s="711" t="s">
        <v>3</v>
      </c>
      <c r="O102" s="711"/>
      <c r="P102" s="711" t="s">
        <v>15</v>
      </c>
      <c r="Q102" s="772"/>
      <c r="R102" s="122"/>
      <c r="S102" s="96"/>
      <c r="T102" s="711" t="s">
        <v>4</v>
      </c>
      <c r="U102" s="711"/>
      <c r="V102" s="711" t="s">
        <v>15</v>
      </c>
      <c r="W102" s="712"/>
    </row>
    <row r="103" spans="1:23" hidden="1" x14ac:dyDescent="0.25">
      <c r="A103" s="86">
        <f>RANK(D103,$D$103:$D$106)</f>
        <v>1</v>
      </c>
      <c r="B103" s="69" t="str">
        <f>B9</f>
        <v>Equipe 1</v>
      </c>
      <c r="C103" s="69">
        <f>D15-E15+D19-E19+D23-E23</f>
        <v>0</v>
      </c>
      <c r="D103" s="681">
        <f>D9+4/10000000</f>
        <v>3.9999999999999998E-7</v>
      </c>
      <c r="E103" s="767"/>
      <c r="F103" s="774"/>
      <c r="G103" s="91">
        <f>RANK(J103,$J$103:$J$106)</f>
        <v>1</v>
      </c>
      <c r="H103" s="69" t="str">
        <f>H9</f>
        <v>Equipe 5</v>
      </c>
      <c r="I103" s="69">
        <f>J15-K15+J19-K19+J23-K23</f>
        <v>0</v>
      </c>
      <c r="J103" s="681">
        <f>J9+4/10000000</f>
        <v>3.9999999999999998E-7</v>
      </c>
      <c r="K103" s="767"/>
      <c r="L103" s="76"/>
      <c r="M103" s="91">
        <f>RANK(P103,$P$103:$P$106)</f>
        <v>1</v>
      </c>
      <c r="N103" s="69" t="str">
        <f>N9</f>
        <v>Equipe 9</v>
      </c>
      <c r="O103" s="69">
        <f>P15-Q15+P19-Q19+P23-Q23</f>
        <v>0</v>
      </c>
      <c r="P103" s="681">
        <f>P9+4/10000000</f>
        <v>3.9999999999999998E-7</v>
      </c>
      <c r="Q103" s="767"/>
      <c r="R103" s="105"/>
      <c r="S103" s="86">
        <f>RANK(V103,$V$103:$V$106)</f>
        <v>1</v>
      </c>
      <c r="T103" s="69" t="str">
        <f>T9</f>
        <v>Equipe 13</v>
      </c>
      <c r="U103" s="69">
        <f>V15-W15+V19-W19+V23-W23</f>
        <v>0</v>
      </c>
      <c r="V103" s="681">
        <f>V9+4/10000000</f>
        <v>3.9999999999999998E-7</v>
      </c>
      <c r="W103" s="682"/>
    </row>
    <row r="104" spans="1:23" hidden="1" x14ac:dyDescent="0.25">
      <c r="A104" s="86">
        <f t="shared" ref="A104:A106" si="0">RANK(D104,$D$103:$D$106)</f>
        <v>2</v>
      </c>
      <c r="B104" s="69" t="str">
        <f>B10</f>
        <v>Equipe 2</v>
      </c>
      <c r="C104" s="69">
        <f>E15-D15+D20-E20+D24-E24</f>
        <v>0</v>
      </c>
      <c r="D104" s="681">
        <f>D10+3/10000000</f>
        <v>2.9999999999999999E-7</v>
      </c>
      <c r="E104" s="767"/>
      <c r="F104" s="774"/>
      <c r="G104" s="91">
        <f t="shared" ref="G104:G106" si="1">RANK(J104,$J$103:$J$106)</f>
        <v>2</v>
      </c>
      <c r="H104" s="69" t="str">
        <f>H10</f>
        <v>Equipe 6</v>
      </c>
      <c r="I104" s="69">
        <f>K15-J15+J20-K20+J24-K24</f>
        <v>0</v>
      </c>
      <c r="J104" s="681">
        <f>J10+3/10000000</f>
        <v>2.9999999999999999E-7</v>
      </c>
      <c r="K104" s="767"/>
      <c r="L104" s="76"/>
      <c r="M104" s="91">
        <f t="shared" ref="M104:M106" si="2">RANK(P104,$P$103:$P$106)</f>
        <v>2</v>
      </c>
      <c r="N104" s="69" t="str">
        <f>N10</f>
        <v>Equipe 10</v>
      </c>
      <c r="O104" s="69">
        <f>Q15-P15+P20-Q20+P24-Q24</f>
        <v>0</v>
      </c>
      <c r="P104" s="681">
        <f>P10+3/10000000</f>
        <v>2.9999999999999999E-7</v>
      </c>
      <c r="Q104" s="767"/>
      <c r="R104" s="105"/>
      <c r="S104" s="86">
        <f t="shared" ref="S104:S106" si="3">RANK(V104,$V$103:$V$106)</f>
        <v>2</v>
      </c>
      <c r="T104" s="69" t="str">
        <f>T10</f>
        <v>Equipe 14</v>
      </c>
      <c r="U104" s="69">
        <f>W15-V15+V20-W20+V24-W24</f>
        <v>0</v>
      </c>
      <c r="V104" s="681">
        <f>V10+3/10000000</f>
        <v>2.9999999999999999E-7</v>
      </c>
      <c r="W104" s="682"/>
    </row>
    <row r="105" spans="1:23" hidden="1" x14ac:dyDescent="0.25">
      <c r="A105" s="86">
        <f t="shared" si="0"/>
        <v>3</v>
      </c>
      <c r="B105" s="69" t="str">
        <f>B11</f>
        <v>Equipe 3</v>
      </c>
      <c r="C105" s="69">
        <f>D16-E16+E19-D19+E24-D24</f>
        <v>0</v>
      </c>
      <c r="D105" s="681">
        <f>D11+2/10000000</f>
        <v>1.9999999999999999E-7</v>
      </c>
      <c r="E105" s="767"/>
      <c r="F105" s="774"/>
      <c r="G105" s="91">
        <f t="shared" si="1"/>
        <v>3</v>
      </c>
      <c r="H105" s="69" t="str">
        <f>H11</f>
        <v>Equipe 7</v>
      </c>
      <c r="I105" s="69">
        <f>J16-K16+K19-J19+K24-J24</f>
        <v>0</v>
      </c>
      <c r="J105" s="681">
        <f>J11+2/10000000</f>
        <v>1.9999999999999999E-7</v>
      </c>
      <c r="K105" s="767"/>
      <c r="L105" s="76"/>
      <c r="M105" s="91">
        <f t="shared" si="2"/>
        <v>3</v>
      </c>
      <c r="N105" s="69" t="str">
        <f>N11</f>
        <v>Equipe 11</v>
      </c>
      <c r="O105" s="69">
        <f>P16-Q16+Q19-P19+Q24-P24</f>
        <v>0</v>
      </c>
      <c r="P105" s="681">
        <f>P11+2/10000000</f>
        <v>1.9999999999999999E-7</v>
      </c>
      <c r="Q105" s="767"/>
      <c r="R105" s="105"/>
      <c r="S105" s="86">
        <f t="shared" si="3"/>
        <v>3</v>
      </c>
      <c r="T105" s="69" t="str">
        <f>T11</f>
        <v>Equipe 15</v>
      </c>
      <c r="U105" s="69">
        <f>V16-W16+W19-V19+W24-V24</f>
        <v>0</v>
      </c>
      <c r="V105" s="681">
        <f>V11+2/10000000</f>
        <v>1.9999999999999999E-7</v>
      </c>
      <c r="W105" s="682"/>
    </row>
    <row r="106" spans="1:23" ht="15.75" hidden="1" thickBot="1" x14ac:dyDescent="0.3">
      <c r="A106" s="87">
        <f t="shared" si="0"/>
        <v>4</v>
      </c>
      <c r="B106" s="88" t="str">
        <f>B12</f>
        <v>Equipe 4</v>
      </c>
      <c r="C106" s="88">
        <f>E16-D16+E20-D20+E23-D23</f>
        <v>0</v>
      </c>
      <c r="D106" s="709">
        <f>D12+1/10000000</f>
        <v>9.9999999999999995E-8</v>
      </c>
      <c r="E106" s="761"/>
      <c r="F106" s="775"/>
      <c r="G106" s="92">
        <f t="shared" si="1"/>
        <v>4</v>
      </c>
      <c r="H106" s="88" t="str">
        <f>H12</f>
        <v>Equipe 8</v>
      </c>
      <c r="I106" s="88">
        <f>K16-J16+K20-J20+K23-J23</f>
        <v>0</v>
      </c>
      <c r="J106" s="709">
        <f>J12+1/10000000</f>
        <v>9.9999999999999995E-8</v>
      </c>
      <c r="K106" s="761"/>
      <c r="L106" s="78"/>
      <c r="M106" s="92">
        <f t="shared" si="2"/>
        <v>4</v>
      </c>
      <c r="N106" s="88" t="str">
        <f>N12</f>
        <v>Equipe 12</v>
      </c>
      <c r="O106" s="88">
        <f>Q16-P16+Q20-P20+Q23-P23</f>
        <v>0</v>
      </c>
      <c r="P106" s="709">
        <f>P12+1/10000000</f>
        <v>9.9999999999999995E-8</v>
      </c>
      <c r="Q106" s="761"/>
      <c r="R106" s="123"/>
      <c r="S106" s="87">
        <f t="shared" si="3"/>
        <v>4</v>
      </c>
      <c r="T106" s="88" t="str">
        <f>T12</f>
        <v>Equipe 16</v>
      </c>
      <c r="U106" s="88">
        <f>W16-V16+W20-V20+W23-V23</f>
        <v>0</v>
      </c>
      <c r="V106" s="709">
        <f>V12+1/10000000</f>
        <v>9.9999999999999995E-8</v>
      </c>
      <c r="W106" s="710"/>
    </row>
    <row r="107" spans="1:23" hidden="1" x14ac:dyDescent="0.25">
      <c r="A107" s="700"/>
      <c r="B107" s="700"/>
      <c r="C107" s="700"/>
      <c r="D107" s="700"/>
      <c r="E107" s="700"/>
      <c r="F107" s="700"/>
      <c r="G107" s="700"/>
      <c r="H107" s="700"/>
      <c r="I107" s="700"/>
      <c r="J107" s="700"/>
      <c r="K107" s="700"/>
      <c r="L107" s="700"/>
      <c r="M107" s="700"/>
      <c r="N107" s="700"/>
      <c r="O107" s="700"/>
      <c r="P107" s="700"/>
      <c r="Q107" s="700"/>
    </row>
    <row r="108" spans="1:23" hidden="1" x14ac:dyDescent="0.25">
      <c r="A108" s="1">
        <f>IF(D15="",0,(IF(D15&gt;E15,3,IF(D15=E15,1,0))))</f>
        <v>0</v>
      </c>
      <c r="B108" s="1">
        <f>IF(E15="",0,(IF(E15&gt;D15,3,IF(E15=D15,1,0))))</f>
        <v>0</v>
      </c>
      <c r="G108" s="1">
        <f>IF(J15="",0,(IF(J15&gt;K15,3,IF(J15=K15,1,0))))</f>
        <v>0</v>
      </c>
      <c r="H108" s="1">
        <f>IF(K15="",0,(IF(K15&gt;J15,3,IF(K15=J15,1,0))))</f>
        <v>0</v>
      </c>
      <c r="M108" s="1">
        <f>IF(P15="",0,(IF(P15&gt;Q15,3,IF(P15=Q15,1,0))))</f>
        <v>0</v>
      </c>
      <c r="N108" s="1">
        <f>IF(Q15="",0,(IF(Q15&gt;P15,3,IF(Q15=P15,1,0))))</f>
        <v>0</v>
      </c>
      <c r="S108" s="1">
        <f>IF(V15="",0,(IF(V15&gt;W15,3,IF(V15=W15,1,0))))</f>
        <v>0</v>
      </c>
      <c r="T108" s="1">
        <f>IF(W15="",0,(IF(W15&gt;V15,3,IF(W15=V15,1,0))))</f>
        <v>0</v>
      </c>
    </row>
    <row r="109" spans="1:23" hidden="1" x14ac:dyDescent="0.25">
      <c r="A109" s="1">
        <f>IF(D16="",0,(IF(D16&gt;E16,3,IF(D16=E16,1,0))))</f>
        <v>0</v>
      </c>
      <c r="B109" s="1">
        <f>IF(E16="",0,(IF(E16&gt;D16,3,IF(E16=D16,1,0))))</f>
        <v>0</v>
      </c>
      <c r="G109" s="1">
        <f>IF(J16="",0,(IF(J16&gt;K16,3,IF(J16=K16,1,0))))</f>
        <v>0</v>
      </c>
      <c r="H109" s="1">
        <f>IF(K16="",0,(IF(K16&gt;J16,3,IF(K16=J16,1,0))))</f>
        <v>0</v>
      </c>
      <c r="M109" s="1">
        <f>IF(P16="",0,(IF(P16&gt;Q16,3,IF(P16=Q16,1,0))))</f>
        <v>0</v>
      </c>
      <c r="N109" s="1">
        <f>IF(Q16="",0,(IF(Q16&gt;P16,3,IF(Q16=P16,1,0))))</f>
        <v>0</v>
      </c>
      <c r="S109" s="1">
        <f>IF(V16="",0,(IF(V16&gt;W16,3,IF(V16=W16,1,0))))</f>
        <v>0</v>
      </c>
      <c r="T109" s="1">
        <f>IF(W16="",0,(IF(W16&gt;V16,3,IF(W16=V16,1,0))))</f>
        <v>0</v>
      </c>
    </row>
    <row r="110" spans="1:23" hidden="1" x14ac:dyDescent="0.25"/>
    <row r="111" spans="1:23" hidden="1" x14ac:dyDescent="0.25"/>
    <row r="112" spans="1:23" hidden="1" x14ac:dyDescent="0.25">
      <c r="A112" s="1">
        <f>IF(D19="",0,(IF(D19&gt;E19,3,IF(D19=E19,1,0))))</f>
        <v>0</v>
      </c>
      <c r="B112" s="1">
        <f>IF(E19="",0,(IF(E19&gt;D19,3,IF(E19=D19,1,0))))</f>
        <v>0</v>
      </c>
      <c r="G112" s="1">
        <f>IF(J19="",0,(IF(J19&gt;K19,3,IF(J19=K19,1,0))))</f>
        <v>0</v>
      </c>
      <c r="H112" s="1">
        <f>IF(K19="",0,(IF(K19&gt;J19,3,IF(K19=J19,1,0))))</f>
        <v>0</v>
      </c>
      <c r="M112" s="1">
        <f>IF(P19="",0,(IF(P19&gt;Q19,3,IF(P19=Q19,1,0))))</f>
        <v>0</v>
      </c>
      <c r="N112" s="1">
        <f>IF(Q19="",0,(IF(Q19&gt;P19,3,IF(Q19=P19,1,0))))</f>
        <v>0</v>
      </c>
      <c r="S112" s="1">
        <f>IF(V19="",0,(IF(V19&gt;W19,3,IF(V19=W19,1,0))))</f>
        <v>0</v>
      </c>
      <c r="T112" s="1">
        <f>IF(W19="",0,(IF(W19&gt;V19,3,IF(W19=V19,1,0))))</f>
        <v>0</v>
      </c>
    </row>
    <row r="113" spans="1:23" hidden="1" x14ac:dyDescent="0.25">
      <c r="A113" s="1">
        <f>IF(D20="",0,(IF(D20&gt;E20,3,IF(D20=E20,1,0))))</f>
        <v>0</v>
      </c>
      <c r="B113" s="1">
        <f>IF(E20="",0,(IF(E20&gt;D20,3,IF(E20=D20,1,0))))</f>
        <v>0</v>
      </c>
      <c r="G113" s="1">
        <f>IF(J20="",0,(IF(J20&gt;K20,3,IF(J20=K20,1,0))))</f>
        <v>0</v>
      </c>
      <c r="H113" s="1">
        <f>IF(K20="",0,(IF(K20&gt;J20,3,IF(K20=J20,1,0))))</f>
        <v>0</v>
      </c>
      <c r="M113" s="1">
        <f>IF(P20="",0,(IF(P20&gt;Q20,3,IF(P20=Q20,1,0))))</f>
        <v>0</v>
      </c>
      <c r="N113" s="1">
        <f>IF(Q20="",0,(IF(Q20&gt;P20,3,IF(Q20=P20,1,0))))</f>
        <v>0</v>
      </c>
      <c r="S113" s="1">
        <f>IF(V20="",0,(IF(V20&gt;W20,3,IF(V20=W20,1,0))))</f>
        <v>0</v>
      </c>
      <c r="T113" s="1">
        <f>IF(W20="",0,(IF(W20&gt;V20,3,IF(W20=V20,1,0))))</f>
        <v>0</v>
      </c>
    </row>
    <row r="114" spans="1:23" hidden="1" x14ac:dyDescent="0.25"/>
    <row r="115" spans="1:23" hidden="1" x14ac:dyDescent="0.25"/>
    <row r="116" spans="1:23" hidden="1" x14ac:dyDescent="0.25">
      <c r="A116" s="1">
        <f>IF(D23="",0,(IF(D23&gt;E23,3,IF(D23=E23,1,0))))</f>
        <v>0</v>
      </c>
      <c r="B116" s="1">
        <f>IF(E23="",0,(IF(E23&gt;D23,3,IF(E23=D23,1,0))))</f>
        <v>0</v>
      </c>
      <c r="G116" s="1">
        <f>IF(J23="",0,(IF(J23&gt;K23,3,IF(J23=K23,1,0))))</f>
        <v>0</v>
      </c>
      <c r="H116" s="1">
        <f>IF(K23="",0,(IF(K23&gt;J23,3,IF(K23=J23,1,0))))</f>
        <v>0</v>
      </c>
      <c r="M116" s="1">
        <f>IF(P23="",0,(IF(P23&gt;Q23,3,IF(P23=Q23,1,0))))</f>
        <v>0</v>
      </c>
      <c r="N116" s="1">
        <f>IF(Q23="",0,(IF(Q23&gt;P23,3,IF(Q23=P23,1,0))))</f>
        <v>0</v>
      </c>
      <c r="S116" s="1">
        <f>IF(V23="",0,(IF(V23&gt;W23,3,IF(V23=W23,1,0))))</f>
        <v>0</v>
      </c>
      <c r="T116" s="1">
        <f>IF(W23="",0,(IF(W23&gt;V23,3,IF(W23=V23,1,0))))</f>
        <v>0</v>
      </c>
    </row>
    <row r="117" spans="1:23" hidden="1" x14ac:dyDescent="0.25">
      <c r="A117" s="1">
        <f>IF(D24="",0,(IF(D24&gt;E24,3,IF(D24=E24,1,0))))</f>
        <v>0</v>
      </c>
      <c r="B117" s="1">
        <f>IF(E24="",0,(IF(E24&gt;D24,3,IF(E24=D24,1,0))))</f>
        <v>0</v>
      </c>
      <c r="G117" s="1">
        <f>IF(J24="",0,(IF(J24&gt;K24,3,IF(J24=K24,1,0))))</f>
        <v>0</v>
      </c>
      <c r="H117" s="1">
        <f>IF(K24="",0,(IF(K24&gt;J24,3,IF(K24=J24,1,0))))</f>
        <v>0</v>
      </c>
      <c r="M117" s="1">
        <f>IF(P24="",0,(IF(P24&gt;Q24,3,IF(P24=Q24,1,0))))</f>
        <v>0</v>
      </c>
      <c r="N117" s="1">
        <f>IF(Q24="",0,(IF(Q24&gt;P24,3,IF(Q24=P24,1,0))))</f>
        <v>0</v>
      </c>
      <c r="S117" s="1">
        <f>IF(V24="",0,(IF(V24&gt;W24,3,IF(V24=W24,1,0))))</f>
        <v>0</v>
      </c>
      <c r="T117" s="1">
        <f>IF(W24="",0,(IF(W24&gt;V24,3,IF(W24=V24,1,0))))</f>
        <v>0</v>
      </c>
    </row>
    <row r="118" spans="1:23" hidden="1" x14ac:dyDescent="0.25"/>
    <row r="119" spans="1:23" hidden="1" x14ac:dyDescent="0.25">
      <c r="A119" s="700"/>
      <c r="B119" s="700"/>
      <c r="C119" s="700"/>
      <c r="D119" s="700"/>
      <c r="E119" s="700"/>
      <c r="F119" s="700"/>
      <c r="G119" s="700"/>
      <c r="H119" s="700"/>
      <c r="I119" s="700"/>
      <c r="J119" s="700"/>
      <c r="K119" s="700"/>
      <c r="L119" s="700"/>
      <c r="M119" s="700"/>
      <c r="N119" s="700"/>
      <c r="O119" s="700"/>
      <c r="P119" s="700"/>
      <c r="Q119" s="700"/>
    </row>
    <row r="120" spans="1:23" hidden="1" x14ac:dyDescent="0.25"/>
    <row r="121" spans="1:23" hidden="1" x14ac:dyDescent="0.25"/>
    <row r="122" spans="1:23" hidden="1" x14ac:dyDescent="0.25"/>
    <row r="123" spans="1:23" hidden="1" x14ac:dyDescent="0.25"/>
    <row r="124" spans="1:23" hidden="1" x14ac:dyDescent="0.25"/>
    <row r="125" spans="1:23" hidden="1" x14ac:dyDescent="0.25"/>
    <row r="126" spans="1:23" hidden="1" x14ac:dyDescent="0.25"/>
    <row r="127" spans="1:23" ht="16.5" hidden="1" thickBot="1" x14ac:dyDescent="0.3">
      <c r="A127" s="670" t="s">
        <v>49</v>
      </c>
      <c r="B127" s="671"/>
      <c r="C127" s="671"/>
      <c r="D127" s="671"/>
      <c r="E127" s="671"/>
      <c r="F127" s="671"/>
      <c r="G127" s="671"/>
      <c r="H127" s="671"/>
      <c r="I127" s="671"/>
      <c r="J127" s="671"/>
      <c r="K127" s="671"/>
      <c r="L127" s="671"/>
      <c r="M127" s="671"/>
      <c r="N127" s="671"/>
      <c r="O127" s="671"/>
      <c r="P127" s="671"/>
      <c r="Q127" s="671"/>
      <c r="R127" s="671"/>
      <c r="S127" s="671"/>
      <c r="T127" s="671"/>
      <c r="U127" s="671"/>
      <c r="V127" s="671"/>
      <c r="W127" s="672"/>
    </row>
    <row r="128" spans="1:23" hidden="1" x14ac:dyDescent="0.25">
      <c r="A128" s="96"/>
      <c r="B128" s="711" t="s">
        <v>256</v>
      </c>
      <c r="C128" s="711"/>
      <c r="D128" s="711" t="s">
        <v>15</v>
      </c>
      <c r="E128" s="772"/>
      <c r="F128" s="773"/>
      <c r="G128" s="121"/>
      <c r="H128" s="711" t="s">
        <v>257</v>
      </c>
      <c r="I128" s="711"/>
      <c r="J128" s="711" t="s">
        <v>15</v>
      </c>
      <c r="K128" s="772"/>
      <c r="L128" s="75"/>
      <c r="M128" s="121"/>
      <c r="N128" s="711" t="s">
        <v>303</v>
      </c>
      <c r="O128" s="711"/>
      <c r="P128" s="711" t="s">
        <v>15</v>
      </c>
      <c r="Q128" s="772"/>
      <c r="R128" s="122"/>
      <c r="S128" s="96"/>
      <c r="T128" s="711" t="s">
        <v>304</v>
      </c>
      <c r="U128" s="711"/>
      <c r="V128" s="711" t="s">
        <v>15</v>
      </c>
      <c r="W128" s="712"/>
    </row>
    <row r="129" spans="1:23" hidden="1" x14ac:dyDescent="0.25">
      <c r="A129" s="86">
        <f>RANK(D129,$D$129:$E$132)</f>
        <v>1</v>
      </c>
      <c r="B129" s="69" t="str">
        <f>B35</f>
        <v>Equipe 17</v>
      </c>
      <c r="C129" s="69">
        <f>D41-E41+D45-E45+D49-E49</f>
        <v>0</v>
      </c>
      <c r="D129" s="681">
        <f>D35+4/10000000</f>
        <v>3.9999999999999998E-7</v>
      </c>
      <c r="E129" s="767"/>
      <c r="F129" s="774"/>
      <c r="G129" s="91">
        <f>RANK(J129,$J$129:$J$132)</f>
        <v>1</v>
      </c>
      <c r="H129" s="69" t="str">
        <f>H35</f>
        <v>Equipe 21</v>
      </c>
      <c r="I129" s="69">
        <f>J41-K41+J45-K45+J49-K49</f>
        <v>0</v>
      </c>
      <c r="J129" s="681">
        <f>J35+4/10000000</f>
        <v>3.9999999999999998E-7</v>
      </c>
      <c r="K129" s="767"/>
      <c r="L129" s="76"/>
      <c r="M129" s="91">
        <f>RANK(P129,$P$129:$P$132)</f>
        <v>1</v>
      </c>
      <c r="N129" s="69" t="str">
        <f>N35</f>
        <v>Equipe 25</v>
      </c>
      <c r="O129" s="69" t="e">
        <f>#REF!-#REF!+P45-Q45+P49-Q49</f>
        <v>#REF!</v>
      </c>
      <c r="P129" s="681">
        <f>P35+4/10000000</f>
        <v>3.9999999999999998E-7</v>
      </c>
      <c r="Q129" s="767"/>
      <c r="R129" s="105"/>
      <c r="S129" s="86">
        <f>RANK(V129,$V$129:$V$132)</f>
        <v>1</v>
      </c>
      <c r="T129" s="69" t="str">
        <f>T35</f>
        <v>Equipe 29</v>
      </c>
      <c r="U129" s="69">
        <f>V41-W41+V45-W45+V49-W49</f>
        <v>0</v>
      </c>
      <c r="V129" s="681">
        <f>V35+4/10000000</f>
        <v>3.9999999999999998E-7</v>
      </c>
      <c r="W129" s="682"/>
    </row>
    <row r="130" spans="1:23" hidden="1" x14ac:dyDescent="0.25">
      <c r="A130" s="86">
        <f t="shared" ref="A130:A132" si="4">RANK(D130,$D$129:$E$132)</f>
        <v>2</v>
      </c>
      <c r="B130" s="69" t="str">
        <f>B36</f>
        <v>Equipe 18</v>
      </c>
      <c r="C130" s="69">
        <f>E41-D41+D46-E46+D50-E50</f>
        <v>0</v>
      </c>
      <c r="D130" s="681">
        <f>D36+3/10000000</f>
        <v>2.9999999999999999E-7</v>
      </c>
      <c r="E130" s="767"/>
      <c r="F130" s="774"/>
      <c r="G130" s="91">
        <f t="shared" ref="G130:G132" si="5">RANK(J130,$J$129:$J$132)</f>
        <v>2</v>
      </c>
      <c r="H130" s="69" t="str">
        <f>H36</f>
        <v>Equipe 22</v>
      </c>
      <c r="I130" s="69">
        <f>K41-J41+J46-K46+J50-K50</f>
        <v>0</v>
      </c>
      <c r="J130" s="681">
        <f>J36+3/10000000</f>
        <v>2.9999999999999999E-7</v>
      </c>
      <c r="K130" s="767"/>
      <c r="L130" s="76"/>
      <c r="M130" s="91">
        <f t="shared" ref="M130:M132" si="6">RANK(P130,$P$129:$P$132)</f>
        <v>2</v>
      </c>
      <c r="N130" s="69" t="str">
        <f>N36</f>
        <v>Equipe 26</v>
      </c>
      <c r="O130" s="69" t="e">
        <f>#REF!-#REF!+P46-Q46+P50-Q50</f>
        <v>#REF!</v>
      </c>
      <c r="P130" s="681">
        <f>P36+3/10000000</f>
        <v>2.9999999999999999E-7</v>
      </c>
      <c r="Q130" s="767"/>
      <c r="R130" s="105"/>
      <c r="S130" s="86">
        <f t="shared" ref="S130:S132" si="7">RANK(V130,$V$129:$V$132)</f>
        <v>2</v>
      </c>
      <c r="T130" s="69" t="str">
        <f>T36</f>
        <v>Equipe 30</v>
      </c>
      <c r="U130" s="69">
        <f>W41-V41+V46-W46+V50-W50</f>
        <v>0</v>
      </c>
      <c r="V130" s="681">
        <f>V36+3/10000000</f>
        <v>2.9999999999999999E-7</v>
      </c>
      <c r="W130" s="682"/>
    </row>
    <row r="131" spans="1:23" hidden="1" x14ac:dyDescent="0.25">
      <c r="A131" s="86">
        <f t="shared" si="4"/>
        <v>3</v>
      </c>
      <c r="B131" s="69" t="str">
        <f>B37</f>
        <v>Equipe 19</v>
      </c>
      <c r="C131" s="69">
        <f>D42-E42+E45-D45+E50-D50</f>
        <v>0</v>
      </c>
      <c r="D131" s="681">
        <f>D37+2/10000000</f>
        <v>1.9999999999999999E-7</v>
      </c>
      <c r="E131" s="767"/>
      <c r="F131" s="774"/>
      <c r="G131" s="91">
        <f t="shared" si="5"/>
        <v>3</v>
      </c>
      <c r="H131" s="69" t="str">
        <f>H37</f>
        <v>Equipe 23</v>
      </c>
      <c r="I131" s="69">
        <f>J42-K42+K45-J45+K50-J50</f>
        <v>0</v>
      </c>
      <c r="J131" s="681">
        <f>J37+2/10000000</f>
        <v>1.9999999999999999E-7</v>
      </c>
      <c r="K131" s="767"/>
      <c r="L131" s="76"/>
      <c r="M131" s="91">
        <f t="shared" si="6"/>
        <v>3</v>
      </c>
      <c r="N131" s="69" t="str">
        <f>N37</f>
        <v>Equipe 27</v>
      </c>
      <c r="O131" s="69" t="e">
        <f>#REF!-#REF!+Q45-P45+Q50-P50</f>
        <v>#REF!</v>
      </c>
      <c r="P131" s="681">
        <f>P37+2/10000000</f>
        <v>1.9999999999999999E-7</v>
      </c>
      <c r="Q131" s="767"/>
      <c r="R131" s="105"/>
      <c r="S131" s="86">
        <f t="shared" si="7"/>
        <v>3</v>
      </c>
      <c r="T131" s="69" t="str">
        <f>T37</f>
        <v>Equipe 31</v>
      </c>
      <c r="U131" s="69">
        <f>V42-W42+W45-V45+W50-V50</f>
        <v>0</v>
      </c>
      <c r="V131" s="681">
        <f>V37+2/10000000</f>
        <v>1.9999999999999999E-7</v>
      </c>
      <c r="W131" s="682"/>
    </row>
    <row r="132" spans="1:23" ht="15.75" hidden="1" thickBot="1" x14ac:dyDescent="0.3">
      <c r="A132" s="86">
        <f t="shared" si="4"/>
        <v>4</v>
      </c>
      <c r="B132" s="88" t="str">
        <f>B38</f>
        <v>Equipe 20</v>
      </c>
      <c r="C132" s="88">
        <f>E42-D42+E46-D46+E49-D49</f>
        <v>0</v>
      </c>
      <c r="D132" s="709">
        <f>D38+1/10000000</f>
        <v>9.9999999999999995E-8</v>
      </c>
      <c r="E132" s="761"/>
      <c r="F132" s="775"/>
      <c r="G132" s="91">
        <f t="shared" si="5"/>
        <v>4</v>
      </c>
      <c r="H132" s="88" t="str">
        <f>H38</f>
        <v>Equipe 24</v>
      </c>
      <c r="I132" s="88">
        <f>K42-J42+K46-J46+K49-J49</f>
        <v>0</v>
      </c>
      <c r="J132" s="709">
        <f>J38+1/10000000</f>
        <v>9.9999999999999995E-8</v>
      </c>
      <c r="K132" s="761"/>
      <c r="L132" s="78"/>
      <c r="M132" s="91">
        <f t="shared" si="6"/>
        <v>4</v>
      </c>
      <c r="N132" s="88" t="str">
        <f>N38</f>
        <v>Equipe 28</v>
      </c>
      <c r="O132" s="88" t="e">
        <f>#REF!-#REF!+Q46-P46+Q49-P49</f>
        <v>#REF!</v>
      </c>
      <c r="P132" s="709">
        <f>P38+1/10000000</f>
        <v>9.9999999999999995E-8</v>
      </c>
      <c r="Q132" s="761"/>
      <c r="R132" s="123"/>
      <c r="S132" s="86">
        <f t="shared" si="7"/>
        <v>4</v>
      </c>
      <c r="T132" s="88" t="str">
        <f>T38</f>
        <v>Equipe 32</v>
      </c>
      <c r="U132" s="88">
        <f>W42-V42+W46-V46+W49-V49</f>
        <v>0</v>
      </c>
      <c r="V132" s="709">
        <f>V38+1/10000000</f>
        <v>9.9999999999999995E-8</v>
      </c>
      <c r="W132" s="710"/>
    </row>
    <row r="133" spans="1:23" hidden="1" x14ac:dyDescent="0.25">
      <c r="A133" s="700"/>
      <c r="B133" s="700"/>
      <c r="C133" s="700"/>
      <c r="D133" s="700"/>
      <c r="E133" s="700"/>
      <c r="F133" s="700"/>
      <c r="G133" s="700"/>
      <c r="H133" s="700"/>
      <c r="I133" s="700"/>
      <c r="J133" s="700"/>
      <c r="K133" s="700"/>
      <c r="L133" s="700"/>
      <c r="M133" s="700"/>
      <c r="N133" s="700"/>
      <c r="O133" s="700"/>
      <c r="P133" s="700"/>
      <c r="Q133" s="700"/>
    </row>
    <row r="134" spans="1:23" hidden="1" x14ac:dyDescent="0.25">
      <c r="A134" s="1">
        <f>IF(D41="",0,(IF(D41&gt;E41,3,IF(D41=E41,1,0))))</f>
        <v>0</v>
      </c>
      <c r="B134" s="1">
        <f>IF(E41="",0,(IF(E41&gt;D41,3,IF(E41=D41,1,0))))</f>
        <v>0</v>
      </c>
      <c r="G134" s="1">
        <f>IF(J41="",0,(IF(J41&gt;K41,3,IF(J41=K41,1,0))))</f>
        <v>0</v>
      </c>
      <c r="H134" s="1">
        <f>IF(K41="",0,(IF(K41&gt;J41,3,IF(K41=J41,1,0))))</f>
        <v>0</v>
      </c>
      <c r="M134" s="1" t="e">
        <f>IF(#REF!="",0,(IF(#REF!&gt;#REF!,3,IF(#REF!=#REF!,1,0))))</f>
        <v>#REF!</v>
      </c>
      <c r="N134" s="1" t="e">
        <f>IF(#REF!="",0,(IF(#REF!&gt;#REF!,3,IF(#REF!=#REF!,1,0))))</f>
        <v>#REF!</v>
      </c>
      <c r="S134" s="1">
        <f>IF(V41="",0,(IF(V41&gt;W41,3,IF(V41=W41,1,0))))</f>
        <v>0</v>
      </c>
      <c r="T134" s="1">
        <f>IF(W41="",0,(IF(W41&gt;V41,3,IF(W41=V41,1,0))))</f>
        <v>0</v>
      </c>
    </row>
    <row r="135" spans="1:23" hidden="1" x14ac:dyDescent="0.25">
      <c r="A135" s="1">
        <f>IF(D42="",0,(IF(D42&gt;E42,3,IF(D42=E42,1,0))))</f>
        <v>0</v>
      </c>
      <c r="B135" s="1">
        <f>IF(E42="",0,(IF(E42&gt;D42,3,IF(E42=D42,1,0))))</f>
        <v>0</v>
      </c>
      <c r="G135" s="1">
        <f>IF(J42="",0,(IF(J42&gt;K42,3,IF(J42=K42,1,0))))</f>
        <v>0</v>
      </c>
      <c r="H135" s="1">
        <f>IF(K42="",0,(IF(K42&gt;J42,3,IF(K42=J42,1,0))))</f>
        <v>0</v>
      </c>
      <c r="M135" s="1" t="e">
        <f>IF(#REF!="",0,(IF(#REF!&gt;#REF!,3,IF(#REF!=#REF!,1,0))))</f>
        <v>#REF!</v>
      </c>
      <c r="N135" s="1" t="e">
        <f>IF(#REF!="",0,(IF(#REF!&gt;#REF!,3,IF(#REF!=#REF!,1,0))))</f>
        <v>#REF!</v>
      </c>
      <c r="S135" s="1">
        <f>IF(V42="",0,(IF(V42&gt;W42,3,IF(V42=W42,1,0))))</f>
        <v>0</v>
      </c>
      <c r="T135" s="1">
        <f>IF(W42="",0,(IF(W42&gt;V42,3,IF(W42=V42,1,0))))</f>
        <v>0</v>
      </c>
    </row>
    <row r="136" spans="1:23" hidden="1" x14ac:dyDescent="0.25"/>
    <row r="137" spans="1:23" hidden="1" x14ac:dyDescent="0.25"/>
    <row r="138" spans="1:23" hidden="1" x14ac:dyDescent="0.25">
      <c r="A138" s="1">
        <f>IF(D45="",0,(IF(D45&gt;E45,3,IF(D45=E45,1,0))))</f>
        <v>0</v>
      </c>
      <c r="B138" s="1">
        <f>IF(E45="",0,(IF(E45&gt;D45,3,IF(E45=D45,1,0))))</f>
        <v>0</v>
      </c>
      <c r="G138" s="1">
        <f>IF(J45="",0,(IF(J45&gt;K45,3,IF(J45=K45,1,0))))</f>
        <v>0</v>
      </c>
      <c r="H138" s="1">
        <f>IF(K45="",0,(IF(K45&gt;J45,3,IF(K45=J45,1,0))))</f>
        <v>0</v>
      </c>
      <c r="M138" s="1">
        <f>IF(P45="",0,(IF(P45&gt;Q45,3,IF(P45=Q45,1,0))))</f>
        <v>0</v>
      </c>
      <c r="N138" s="1">
        <f>IF(Q45="",0,(IF(Q45&gt;P45,3,IF(Q45=P45,1,0))))</f>
        <v>0</v>
      </c>
      <c r="S138" s="1">
        <f>IF(V45="",0,(IF(V45&gt;W45,3,IF(V45=W45,1,0))))</f>
        <v>0</v>
      </c>
      <c r="T138" s="1">
        <f>IF(W45="",0,(IF(W45&gt;V45,3,IF(W45=V45,1,0))))</f>
        <v>0</v>
      </c>
    </row>
    <row r="139" spans="1:23" hidden="1" x14ac:dyDescent="0.25">
      <c r="A139" s="1">
        <f>IF(D46="",0,(IF(D46&gt;E46,3,IF(D46=E46,1,0))))</f>
        <v>0</v>
      </c>
      <c r="B139" s="1">
        <f>IF(E46="",0,(IF(E46&gt;D46,3,IF(E46=D46,1,0))))</f>
        <v>0</v>
      </c>
      <c r="G139" s="1">
        <f>IF(J46="",0,(IF(J46&gt;K46,3,IF(J46=K46,1,0))))</f>
        <v>0</v>
      </c>
      <c r="H139" s="1">
        <f>IF(K46="",0,(IF(K46&gt;J46,3,IF(K46=J46,1,0))))</f>
        <v>0</v>
      </c>
      <c r="M139" s="1">
        <f>IF(P46="",0,(IF(P46&gt;Q46,3,IF(P46=Q46,1,0))))</f>
        <v>0</v>
      </c>
      <c r="N139" s="1">
        <f>IF(Q46="",0,(IF(Q46&gt;P46,3,IF(Q46=P46,1,0))))</f>
        <v>0</v>
      </c>
      <c r="S139" s="1">
        <f>IF(V46="",0,(IF(V46&gt;W46,3,IF(V46=W46,1,0))))</f>
        <v>0</v>
      </c>
      <c r="T139" s="1">
        <f>IF(W46="",0,(IF(W46&gt;V46,3,IF(W46=V46,1,0))))</f>
        <v>0</v>
      </c>
    </row>
    <row r="140" spans="1:23" hidden="1" x14ac:dyDescent="0.25"/>
    <row r="141" spans="1:23" hidden="1" x14ac:dyDescent="0.25"/>
    <row r="142" spans="1:23" hidden="1" x14ac:dyDescent="0.25">
      <c r="A142" s="1">
        <f>IF(D49="",0,(IF(D49&gt;E49,3,IF(D49=E49,1,0))))</f>
        <v>0</v>
      </c>
      <c r="B142" s="1">
        <f>IF(E49="",0,(IF(E49&gt;D49,3,IF(E49=D49,1,0))))</f>
        <v>0</v>
      </c>
      <c r="G142" s="1">
        <f>IF(J49="",0,(IF(J49&gt;K49,3,IF(J49=K49,1,0))))</f>
        <v>0</v>
      </c>
      <c r="H142" s="1">
        <f>IF(K49="",0,(IF(K49&gt;J49,3,IF(K49=J49,1,0))))</f>
        <v>0</v>
      </c>
      <c r="M142" s="1">
        <f>IF(P49="",0,(IF(P49&gt;Q49,3,IF(P49=Q49,1,0))))</f>
        <v>0</v>
      </c>
      <c r="N142" s="1">
        <f>IF(Q49="",0,(IF(Q49&gt;P49,3,IF(Q49=P49,1,0))))</f>
        <v>0</v>
      </c>
      <c r="S142" s="1">
        <f>IF(V49="",0,(IF(V49&gt;W49,3,IF(V49=W49,1,0))))</f>
        <v>0</v>
      </c>
      <c r="T142" s="1">
        <f>IF(W49="",0,(IF(W49&gt;V49,3,IF(W49=V49,1,0))))</f>
        <v>0</v>
      </c>
    </row>
    <row r="143" spans="1:23" hidden="1" x14ac:dyDescent="0.25">
      <c r="A143" s="1">
        <f>IF(D50="",0,(IF(D50&gt;E50,3,IF(D50=E50,1,0))))</f>
        <v>0</v>
      </c>
      <c r="B143" s="1">
        <f>IF(E50="",0,(IF(E50&gt;D50,3,IF(E50=D50,1,0))))</f>
        <v>0</v>
      </c>
      <c r="G143" s="1">
        <f>IF(J50="",0,(IF(J50&gt;K50,3,IF(J50=K50,1,0))))</f>
        <v>0</v>
      </c>
      <c r="H143" s="1">
        <f>IF(K50="",0,(IF(K50&gt;J50,3,IF(K50=J50,1,0))))</f>
        <v>0</v>
      </c>
      <c r="M143" s="1">
        <f>IF(P50="",0,(IF(P50&gt;Q50,3,IF(P50=Q50,1,0))))</f>
        <v>0</v>
      </c>
      <c r="N143" s="1">
        <f>IF(Q50="",0,(IF(Q50&gt;P50,3,IF(Q50=P50,1,0))))</f>
        <v>0</v>
      </c>
      <c r="S143" s="1">
        <f>IF(V50="",0,(IF(V50&gt;W50,3,IF(V50=W50,1,0))))</f>
        <v>0</v>
      </c>
      <c r="T143" s="1">
        <f>IF(W50="",0,(IF(W50&gt;V50,3,IF(W50=V50,1,0))))</f>
        <v>0</v>
      </c>
    </row>
    <row r="144" spans="1:23" hidden="1" x14ac:dyDescent="0.25"/>
    <row r="145" spans="1:23" hidden="1" x14ac:dyDescent="0.25"/>
    <row r="146" spans="1:23" hidden="1" x14ac:dyDescent="0.25"/>
    <row r="147" spans="1:23" hidden="1" x14ac:dyDescent="0.25"/>
    <row r="148" spans="1:23" hidden="1" x14ac:dyDescent="0.25"/>
    <row r="149" spans="1:23" hidden="1" x14ac:dyDescent="0.25"/>
    <row r="150" spans="1:23" hidden="1" x14ac:dyDescent="0.25"/>
    <row r="151" spans="1:23" hidden="1" x14ac:dyDescent="0.25"/>
    <row r="152" spans="1:23" hidden="1" x14ac:dyDescent="0.25"/>
    <row r="153" spans="1:23" hidden="1" x14ac:dyDescent="0.25"/>
    <row r="154" spans="1:23" hidden="1" x14ac:dyDescent="0.25"/>
    <row r="155" spans="1:23" hidden="1" x14ac:dyDescent="0.25"/>
    <row r="156" spans="1:23" ht="16.5" hidden="1" thickBot="1" x14ac:dyDescent="0.3">
      <c r="A156" s="670" t="s">
        <v>305</v>
      </c>
      <c r="B156" s="671"/>
      <c r="C156" s="671"/>
      <c r="D156" s="671"/>
      <c r="E156" s="671"/>
      <c r="F156" s="671"/>
      <c r="G156" s="671"/>
      <c r="H156" s="671"/>
      <c r="I156" s="671"/>
      <c r="J156" s="671"/>
      <c r="K156" s="671"/>
      <c r="L156" s="671"/>
      <c r="M156" s="671"/>
      <c r="N156" s="671"/>
      <c r="O156" s="671"/>
      <c r="P156" s="671"/>
      <c r="Q156" s="671"/>
      <c r="R156" s="671"/>
      <c r="S156" s="671"/>
      <c r="T156" s="671"/>
      <c r="U156" s="671"/>
      <c r="V156" s="671"/>
      <c r="W156" s="672"/>
    </row>
    <row r="157" spans="1:23" hidden="1" x14ac:dyDescent="0.25">
      <c r="A157" s="96"/>
      <c r="B157" s="711" t="s">
        <v>1</v>
      </c>
      <c r="C157" s="711"/>
      <c r="D157" s="711" t="s">
        <v>15</v>
      </c>
      <c r="E157" s="772"/>
      <c r="F157" s="773"/>
      <c r="G157" s="121"/>
      <c r="H157" s="711" t="s">
        <v>2</v>
      </c>
      <c r="I157" s="711"/>
      <c r="J157" s="711" t="s">
        <v>15</v>
      </c>
      <c r="K157" s="772"/>
      <c r="L157" s="75"/>
      <c r="M157" s="121"/>
      <c r="N157" s="711" t="s">
        <v>3</v>
      </c>
      <c r="O157" s="711"/>
      <c r="P157" s="711" t="s">
        <v>15</v>
      </c>
      <c r="Q157" s="772"/>
      <c r="R157" s="122"/>
      <c r="S157" s="96"/>
      <c r="T157" s="711" t="s">
        <v>4</v>
      </c>
      <c r="U157" s="711"/>
      <c r="V157" s="711" t="s">
        <v>15</v>
      </c>
      <c r="W157" s="712"/>
    </row>
    <row r="158" spans="1:23" hidden="1" x14ac:dyDescent="0.25">
      <c r="A158" s="86">
        <f>RANK(D158,$D$158:$E$161)</f>
        <v>1</v>
      </c>
      <c r="B158" s="69" t="str">
        <f>B64</f>
        <v>Equipe 1</v>
      </c>
      <c r="C158" s="69">
        <f>D70-E70+D74-E74+D78-E78</f>
        <v>0</v>
      </c>
      <c r="D158" s="681">
        <f>D64+4/10000000</f>
        <v>3.9999999999999998E-7</v>
      </c>
      <c r="E158" s="767"/>
      <c r="F158" s="774"/>
      <c r="G158" s="91">
        <f>RANK(J158,$J$158:$J$161)</f>
        <v>1</v>
      </c>
      <c r="H158" s="69" t="str">
        <f>H64</f>
        <v>Equipe 2</v>
      </c>
      <c r="I158" s="69">
        <f>J70-K70+J74-K74+J78-K78</f>
        <v>0</v>
      </c>
      <c r="J158" s="681">
        <f>P83+4/10000000</f>
        <v>3.9999999999999998E-7</v>
      </c>
      <c r="K158" s="767"/>
      <c r="L158" s="76"/>
      <c r="M158" s="91">
        <f>RANK(P158,$P$158:$P$161)</f>
        <v>1</v>
      </c>
      <c r="N158" s="69" t="str">
        <f>N64</f>
        <v>Equipe 3</v>
      </c>
      <c r="O158" s="69">
        <f>P70-Q70+P74-Q74+P78-Q78</f>
        <v>0</v>
      </c>
      <c r="P158" s="681">
        <f>P64+4/10000000</f>
        <v>3.9999999999999998E-7</v>
      </c>
      <c r="Q158" s="767"/>
      <c r="R158" s="105"/>
      <c r="S158" s="86">
        <f>RANK(V158,$V$158:$V$161)</f>
        <v>1</v>
      </c>
      <c r="T158" s="69" t="str">
        <f>T64</f>
        <v>Equipe 4</v>
      </c>
      <c r="U158" s="69">
        <f>V70-W70+V74-W74+V78-W78</f>
        <v>0</v>
      </c>
      <c r="V158" s="681">
        <f>V64+4/10000000</f>
        <v>3.9999999999999998E-7</v>
      </c>
      <c r="W158" s="682"/>
    </row>
    <row r="159" spans="1:23" hidden="1" x14ac:dyDescent="0.25">
      <c r="A159" s="86">
        <f t="shared" ref="A159:A161" si="8">RANK(D159,$D$158:$E$161)</f>
        <v>2</v>
      </c>
      <c r="B159" s="69" t="str">
        <f>B65</f>
        <v>Equipe 6</v>
      </c>
      <c r="C159" s="69">
        <f>E70-D70+D75-E75+D79-E79</f>
        <v>0</v>
      </c>
      <c r="D159" s="681">
        <f>D65+3/10000000</f>
        <v>2.9999999999999999E-7</v>
      </c>
      <c r="E159" s="767"/>
      <c r="F159" s="774"/>
      <c r="G159" s="91">
        <f t="shared" ref="G159:G161" si="9">RANK(J159,$J$158:$J$161)</f>
        <v>2</v>
      </c>
      <c r="H159" s="69" t="str">
        <f>H65</f>
        <v>Equipe 7</v>
      </c>
      <c r="I159" s="69">
        <f>K70-J70+J75-K75+J79-K79</f>
        <v>0</v>
      </c>
      <c r="J159" s="681">
        <f>P84+3/10000000</f>
        <v>2.9999999999999999E-7</v>
      </c>
      <c r="K159" s="767"/>
      <c r="L159" s="76"/>
      <c r="M159" s="91">
        <f t="shared" ref="M159:M161" si="10">RANK(P159,$P$158:$P$161)</f>
        <v>2</v>
      </c>
      <c r="N159" s="69" t="str">
        <f>N65</f>
        <v>Equipe 8</v>
      </c>
      <c r="O159" s="69">
        <f>Q70-P70+P75-Q75+P79-Q79</f>
        <v>0</v>
      </c>
      <c r="P159" s="681">
        <f>P65+3/10000000</f>
        <v>2.9999999999999999E-7</v>
      </c>
      <c r="Q159" s="767"/>
      <c r="R159" s="105"/>
      <c r="S159" s="86">
        <f t="shared" ref="S159:S161" si="11">RANK(V159,$V$158:$V$161)</f>
        <v>2</v>
      </c>
      <c r="T159" s="69" t="str">
        <f>T65</f>
        <v>Equipe 5</v>
      </c>
      <c r="U159" s="69">
        <f>W70-V70+V75-W75+V79-W79</f>
        <v>0</v>
      </c>
      <c r="V159" s="681">
        <f>V65+3/10000000</f>
        <v>2.9999999999999999E-7</v>
      </c>
      <c r="W159" s="682"/>
    </row>
    <row r="160" spans="1:23" hidden="1" x14ac:dyDescent="0.25">
      <c r="A160" s="86">
        <f t="shared" si="8"/>
        <v>3</v>
      </c>
      <c r="B160" s="69" t="str">
        <f>B66</f>
        <v>Equipe 11</v>
      </c>
      <c r="C160" s="69">
        <f>D71-E71+E74-D74+E79-D79</f>
        <v>0</v>
      </c>
      <c r="D160" s="681">
        <f>D66+2/10000000</f>
        <v>1.9999999999999999E-7</v>
      </c>
      <c r="E160" s="767"/>
      <c r="F160" s="774"/>
      <c r="G160" s="91">
        <f t="shared" si="9"/>
        <v>3</v>
      </c>
      <c r="H160" s="69" t="str">
        <f>H66</f>
        <v>Equipe 12</v>
      </c>
      <c r="I160" s="69">
        <f>J71-K71+K74-J74+K79-J79</f>
        <v>0</v>
      </c>
      <c r="J160" s="681">
        <f>P85+2/10000000</f>
        <v>1.9999999999999999E-7</v>
      </c>
      <c r="K160" s="767"/>
      <c r="L160" s="76"/>
      <c r="M160" s="91">
        <f t="shared" si="10"/>
        <v>3</v>
      </c>
      <c r="N160" s="69" t="str">
        <f>N66</f>
        <v>Equipe 9</v>
      </c>
      <c r="O160" s="69">
        <f>P71-Q71+Q74-P74+Q79-P79</f>
        <v>0</v>
      </c>
      <c r="P160" s="681">
        <f>P66+2/10000000</f>
        <v>1.9999999999999999E-7</v>
      </c>
      <c r="Q160" s="767"/>
      <c r="R160" s="105"/>
      <c r="S160" s="86">
        <f t="shared" si="11"/>
        <v>3</v>
      </c>
      <c r="T160" s="69" t="str">
        <f>T66</f>
        <v>Equipe 10</v>
      </c>
      <c r="U160" s="69">
        <f>V71-W71+W74-V74+W79-V79</f>
        <v>0</v>
      </c>
      <c r="V160" s="681">
        <f>V66+2/10000000</f>
        <v>1.9999999999999999E-7</v>
      </c>
      <c r="W160" s="682"/>
    </row>
    <row r="161" spans="1:23" ht="15.75" hidden="1" thickBot="1" x14ac:dyDescent="0.3">
      <c r="A161" s="87">
        <f t="shared" si="8"/>
        <v>4</v>
      </c>
      <c r="B161" s="88" t="str">
        <f>B67</f>
        <v>Equipe 16</v>
      </c>
      <c r="C161" s="88">
        <f>E71-D71+E75-D75+E78-D78</f>
        <v>0</v>
      </c>
      <c r="D161" s="709">
        <f>D67+1/10000000</f>
        <v>9.9999999999999995E-8</v>
      </c>
      <c r="E161" s="761"/>
      <c r="F161" s="775"/>
      <c r="G161" s="92">
        <f t="shared" si="9"/>
        <v>4</v>
      </c>
      <c r="H161" s="88" t="str">
        <f>H67</f>
        <v>Equipe 13</v>
      </c>
      <c r="I161" s="88">
        <f>K71-J71+K75-J75+K78-J78</f>
        <v>0</v>
      </c>
      <c r="J161" s="709">
        <f>P86+1/10000000</f>
        <v>9.9999999999999995E-8</v>
      </c>
      <c r="K161" s="761"/>
      <c r="L161" s="78"/>
      <c r="M161" s="92">
        <f t="shared" si="10"/>
        <v>4</v>
      </c>
      <c r="N161" s="88" t="str">
        <f>N67</f>
        <v>Equipe 14</v>
      </c>
      <c r="O161" s="88">
        <f>Q71-P71+Q75-P75+Q78-P78</f>
        <v>0</v>
      </c>
      <c r="P161" s="709">
        <f>P67+1/10000000</f>
        <v>9.9999999999999995E-8</v>
      </c>
      <c r="Q161" s="761"/>
      <c r="R161" s="123"/>
      <c r="S161" s="87">
        <f t="shared" si="11"/>
        <v>4</v>
      </c>
      <c r="T161" s="88" t="str">
        <f>T67</f>
        <v>Equipe 15</v>
      </c>
      <c r="U161" s="88">
        <f>W71-V71+W75-V75+W78-V78</f>
        <v>0</v>
      </c>
      <c r="V161" s="709">
        <f>V67+1/10000000</f>
        <v>9.9999999999999995E-8</v>
      </c>
      <c r="W161" s="710"/>
    </row>
    <row r="162" spans="1:23" hidden="1" x14ac:dyDescent="0.25">
      <c r="A162" s="700"/>
      <c r="B162" s="700"/>
      <c r="C162" s="700"/>
      <c r="D162" s="700"/>
      <c r="E162" s="700"/>
      <c r="F162" s="700"/>
      <c r="G162" s="700"/>
      <c r="H162" s="700"/>
      <c r="I162" s="700"/>
      <c r="J162" s="700"/>
      <c r="K162" s="700"/>
      <c r="L162" s="700"/>
      <c r="M162" s="700"/>
      <c r="N162" s="700"/>
      <c r="O162" s="700"/>
      <c r="P162" s="700"/>
      <c r="Q162" s="700"/>
    </row>
    <row r="163" spans="1:23" hidden="1" x14ac:dyDescent="0.25">
      <c r="A163" s="1">
        <f>IF(D70="",0,(IF(D70&gt;E70,3,IF(D70=E70,1,0))))</f>
        <v>0</v>
      </c>
      <c r="B163" s="1">
        <f>IF(E70="",0,(IF(E70&gt;D70,3,IF(E70=D70,1,0))))</f>
        <v>0</v>
      </c>
      <c r="G163" s="1">
        <f>IF(J70="",0,(IF(J70&gt;K70,3,IF(J70=K70,1,0))))</f>
        <v>0</v>
      </c>
      <c r="H163" s="1">
        <f>IF(K70="",0,(IF(K70&gt;J70,3,IF(K70=J70,1,0))))</f>
        <v>0</v>
      </c>
      <c r="M163" s="1">
        <f>IF(P70="",0,(IF(P70&gt;Q70,3,IF(P70=Q70,1,0))))</f>
        <v>0</v>
      </c>
      <c r="N163" s="1">
        <f>IF(Q70="",0,(IF(Q70&gt;P70,3,IF(Q70=P70,1,0))))</f>
        <v>0</v>
      </c>
      <c r="S163" s="1">
        <f>IF(V70="",0,(IF(V70&gt;W70,3,IF(V70=W70,1,0))))</f>
        <v>0</v>
      </c>
      <c r="T163" s="1">
        <f>IF(W70="",0,(IF(W70&gt;V70,3,IF(W70=V70,1,0))))</f>
        <v>0</v>
      </c>
    </row>
    <row r="164" spans="1:23" hidden="1" x14ac:dyDescent="0.25">
      <c r="A164" s="1">
        <f>IF(D71="",0,(IF(D71&gt;E71,3,IF(D71=E71,1,0))))</f>
        <v>0</v>
      </c>
      <c r="B164" s="1">
        <f>IF(E71="",0,(IF(E71&gt;D71,3,IF(E71=D71,1,0))))</f>
        <v>0</v>
      </c>
      <c r="G164" s="1">
        <f>IF(J71="",0,(IF(J71&gt;K71,3,IF(J71=K71,1,0))))</f>
        <v>0</v>
      </c>
      <c r="H164" s="1">
        <f>IF(K71="",0,(IF(K71&gt;J71,3,IF(K71=J71,1,0))))</f>
        <v>0</v>
      </c>
      <c r="M164" s="1">
        <f>IF(P71="",0,(IF(P71&gt;Q71,3,IF(P71=Q71,1,0))))</f>
        <v>0</v>
      </c>
      <c r="N164" s="1">
        <f>IF(Q71="",0,(IF(Q71&gt;P71,3,IF(Q71=P71,1,0))))</f>
        <v>0</v>
      </c>
      <c r="S164" s="1">
        <f>IF(V71="",0,(IF(V71&gt;W71,3,IF(V71=W71,1,0))))</f>
        <v>0</v>
      </c>
      <c r="T164" s="1">
        <f>IF(W71="",0,(IF(W71&gt;V71,3,IF(W71=V71,1,0))))</f>
        <v>0</v>
      </c>
    </row>
    <row r="165" spans="1:23" hidden="1" x14ac:dyDescent="0.25"/>
    <row r="166" spans="1:23" hidden="1" x14ac:dyDescent="0.25"/>
    <row r="167" spans="1:23" hidden="1" x14ac:dyDescent="0.25">
      <c r="A167" s="1">
        <f>IF(D74="",0,(IF(D74&gt;E74,3,IF(D74=E74,1,0))))</f>
        <v>0</v>
      </c>
      <c r="B167" s="1">
        <f>IF(E74="",0,(IF(E74&gt;D74,3,IF(E74=D74,1,0))))</f>
        <v>0</v>
      </c>
      <c r="G167" s="1">
        <f>IF(J74="",0,(IF(J74&gt;K74,3,IF(J74=K74,1,0))))</f>
        <v>0</v>
      </c>
      <c r="H167" s="1">
        <f>IF(K74="",0,(IF(K74&gt;J74,3,IF(K74=J74,1,0))))</f>
        <v>0</v>
      </c>
      <c r="M167" s="1">
        <f>IF(P74="",0,(IF(P74&gt;Q74,3,IF(P74=Q74,1,0))))</f>
        <v>0</v>
      </c>
      <c r="N167" s="1">
        <f>IF(Q74="",0,(IF(Q74&gt;P74,3,IF(Q74=P74,1,0))))</f>
        <v>0</v>
      </c>
      <c r="S167" s="1">
        <f>IF(V74="",0,(IF(V74&gt;W74,3,IF(V74=W74,1,0))))</f>
        <v>0</v>
      </c>
      <c r="T167" s="1">
        <f>IF(W74="",0,(IF(W74&gt;V74,3,IF(W74=V74,1,0))))</f>
        <v>0</v>
      </c>
    </row>
    <row r="168" spans="1:23" hidden="1" x14ac:dyDescent="0.25">
      <c r="A168" s="1">
        <f>IF(D75="",0,(IF(D75&gt;E75,3,IF(D75=E75,1,0))))</f>
        <v>0</v>
      </c>
      <c r="B168" s="1">
        <f>IF(E75="",0,(IF(E75&gt;D75,3,IF(E75=D75,1,0))))</f>
        <v>0</v>
      </c>
      <c r="G168" s="1">
        <f>IF(J75="",0,(IF(J75&gt;K75,3,IF(J75=K75,1,0))))</f>
        <v>0</v>
      </c>
      <c r="H168" s="1">
        <f>IF(K75="",0,(IF(K75&gt;J75,3,IF(K75=J75,1,0))))</f>
        <v>0</v>
      </c>
      <c r="M168" s="1">
        <f>IF(P75="",0,(IF(P75&gt;Q75,3,IF(P75=Q75,1,0))))</f>
        <v>0</v>
      </c>
      <c r="N168" s="1">
        <f>IF(Q75="",0,(IF(Q75&gt;P75,3,IF(Q75=P75,1,0))))</f>
        <v>0</v>
      </c>
      <c r="S168" s="1">
        <f>IF(V75="",0,(IF(V75&gt;W75,3,IF(V75=W75,1,0))))</f>
        <v>0</v>
      </c>
      <c r="T168" s="1">
        <f>IF(W75="",0,(IF(W75&gt;V75,3,IF(W75=V75,1,0))))</f>
        <v>0</v>
      </c>
    </row>
    <row r="169" spans="1:23" hidden="1" x14ac:dyDescent="0.25"/>
    <row r="170" spans="1:23" hidden="1" x14ac:dyDescent="0.25"/>
    <row r="171" spans="1:23" hidden="1" x14ac:dyDescent="0.25">
      <c r="A171" s="1">
        <f>IF(D78="",0,(IF(D78&gt;E78,3,IF(D78=E78,1,0))))</f>
        <v>0</v>
      </c>
      <c r="B171" s="1">
        <f>IF(E78="",0,(IF(E78&gt;D78,3,IF(E78=D78,1,0))))</f>
        <v>0</v>
      </c>
      <c r="G171" s="1">
        <f>IF(J78="",0,(IF(J78&gt;K78,3,IF(J78=K78,1,0))))</f>
        <v>0</v>
      </c>
      <c r="H171" s="1">
        <f>IF(K78="",0,(IF(K78&gt;J78,3,IF(K78=J78,1,0))))</f>
        <v>0</v>
      </c>
      <c r="M171" s="1">
        <f>IF(P78="",0,(IF(P78&gt;Q78,3,IF(P78=Q78,1,0))))</f>
        <v>0</v>
      </c>
      <c r="N171" s="1">
        <f>IF(Q78="",0,(IF(Q78&gt;P78,3,IF(Q78=P78,1,0))))</f>
        <v>0</v>
      </c>
      <c r="S171" s="1">
        <f>IF(V78="",0,(IF(V78&gt;W78,3,IF(V78=W78,1,0))))</f>
        <v>0</v>
      </c>
      <c r="T171" s="1">
        <f>IF(W78="",0,(IF(W78&gt;V78,3,IF(W78=V78,1,0))))</f>
        <v>0</v>
      </c>
    </row>
    <row r="172" spans="1:23" hidden="1" x14ac:dyDescent="0.25">
      <c r="A172" s="1">
        <f>IF(D79="",0,(IF(D79&gt;E79,3,IF(D79=E79,1,0))))</f>
        <v>0</v>
      </c>
      <c r="B172" s="1">
        <f>IF(E79="",0,(IF(E79&gt;D79,3,IF(E79=D79,1,0))))</f>
        <v>0</v>
      </c>
      <c r="G172" s="1">
        <f>IF(J79="",0,(IF(J79&gt;K79,3,IF(J79=K79,1,0))))</f>
        <v>0</v>
      </c>
      <c r="H172" s="1">
        <f>IF(K79="",0,(IF(K79&gt;J79,3,IF(K79=J79,1,0))))</f>
        <v>0</v>
      </c>
      <c r="M172" s="1">
        <f>IF(P79="",0,(IF(P79&gt;Q79,3,IF(P79=Q79,1,0))))</f>
        <v>0</v>
      </c>
      <c r="N172" s="1">
        <f>IF(Q79="",0,(IF(Q79&gt;P79,3,IF(Q79=P79,1,0))))</f>
        <v>0</v>
      </c>
      <c r="S172" s="1">
        <f>IF(V79="",0,(IF(V79&gt;W79,3,IF(V79=W79,1,0))))</f>
        <v>0</v>
      </c>
      <c r="T172" s="1">
        <f>IF(W79="",0,(IF(W79&gt;V79,3,IF(W79=V79,1,0))))</f>
        <v>0</v>
      </c>
    </row>
    <row r="173" spans="1:23" hidden="1" x14ac:dyDescent="0.25"/>
    <row r="174" spans="1:23" hidden="1" x14ac:dyDescent="0.25"/>
    <row r="175" spans="1:23" hidden="1" x14ac:dyDescent="0.25"/>
    <row r="176" spans="1:23" hidden="1" x14ac:dyDescent="0.25"/>
    <row r="177" spans="1:23" hidden="1" x14ac:dyDescent="0.25"/>
    <row r="178" spans="1:23" hidden="1" x14ac:dyDescent="0.25"/>
    <row r="179" spans="1:23" hidden="1" x14ac:dyDescent="0.25"/>
    <row r="180" spans="1:23" hidden="1" x14ac:dyDescent="0.25"/>
    <row r="181" spans="1:23" hidden="1" x14ac:dyDescent="0.25"/>
    <row r="182" spans="1:23" ht="16.5" hidden="1" thickBot="1" x14ac:dyDescent="0.3">
      <c r="A182" s="670" t="s">
        <v>305</v>
      </c>
      <c r="B182" s="671"/>
      <c r="C182" s="671"/>
      <c r="D182" s="671"/>
      <c r="E182" s="671"/>
      <c r="F182" s="671"/>
      <c r="G182" s="671"/>
      <c r="H182" s="671"/>
      <c r="I182" s="671"/>
      <c r="J182" s="671"/>
      <c r="K182" s="671"/>
      <c r="L182" s="671"/>
      <c r="M182" s="671"/>
      <c r="N182" s="671"/>
      <c r="O182" s="671"/>
      <c r="P182" s="671"/>
      <c r="Q182" s="671"/>
      <c r="R182" s="671"/>
      <c r="S182" s="671"/>
      <c r="T182" s="671"/>
      <c r="U182" s="671"/>
      <c r="V182" s="671"/>
      <c r="W182" s="672"/>
    </row>
    <row r="183" spans="1:23" hidden="1" x14ac:dyDescent="0.25">
      <c r="A183" s="96"/>
      <c r="B183" s="711" t="s">
        <v>256</v>
      </c>
      <c r="C183" s="711"/>
      <c r="D183" s="711" t="s">
        <v>15</v>
      </c>
      <c r="E183" s="772"/>
      <c r="F183" s="773"/>
      <c r="G183" s="121"/>
      <c r="H183" s="711" t="s">
        <v>257</v>
      </c>
      <c r="I183" s="711"/>
      <c r="J183" s="711" t="s">
        <v>15</v>
      </c>
      <c r="K183" s="772"/>
      <c r="L183" s="75"/>
      <c r="M183" s="121"/>
      <c r="N183" s="711" t="s">
        <v>303</v>
      </c>
      <c r="O183" s="711"/>
      <c r="P183" s="711" t="s">
        <v>15</v>
      </c>
      <c r="Q183" s="772"/>
      <c r="R183" s="122"/>
      <c r="S183" s="96"/>
      <c r="T183" s="711" t="s">
        <v>304</v>
      </c>
      <c r="U183" s="711"/>
      <c r="V183" s="711" t="s">
        <v>15</v>
      </c>
      <c r="W183" s="712"/>
    </row>
    <row r="184" spans="1:23" hidden="1" x14ac:dyDescent="0.25">
      <c r="A184" s="86">
        <f>RANK(D184,$D$184:$E$187)</f>
        <v>1</v>
      </c>
      <c r="B184" s="69" t="str">
        <f>B83</f>
        <v>Equipe 17</v>
      </c>
      <c r="C184" s="69">
        <f>D89-E89+D93-E93+D97-E97</f>
        <v>0</v>
      </c>
      <c r="D184" s="681">
        <f>D83+4/10000000</f>
        <v>3.9999999999999998E-7</v>
      </c>
      <c r="E184" s="767"/>
      <c r="F184" s="774"/>
      <c r="G184" s="91">
        <f>RANK(J184,$J$184:$J$187)</f>
        <v>1</v>
      </c>
      <c r="H184" s="69" t="str">
        <f>H83</f>
        <v>Equipe 18</v>
      </c>
      <c r="I184" s="69">
        <f>J89-K89+J93-K93+J97-K97</f>
        <v>0</v>
      </c>
      <c r="J184" s="681">
        <f>J83+4/10000000</f>
        <v>3.9999999999999998E-7</v>
      </c>
      <c r="K184" s="767"/>
      <c r="L184" s="76"/>
      <c r="M184" s="91" t="e">
        <f>RANK(P184,$P$184:$P$187)</f>
        <v>#REF!</v>
      </c>
      <c r="N184" s="69" t="str">
        <f>N83</f>
        <v>Equipe 19</v>
      </c>
      <c r="O184" s="69">
        <f>P89-Q89+P93-Q93+P97-Q97</f>
        <v>0</v>
      </c>
      <c r="P184" s="681" t="e">
        <f>#REF!+4/10000000</f>
        <v>#REF!</v>
      </c>
      <c r="Q184" s="767"/>
      <c r="R184" s="105"/>
      <c r="S184" s="86">
        <f>RANK(V184,$V$184:$V$187)</f>
        <v>1</v>
      </c>
      <c r="T184" s="69" t="str">
        <f>T83</f>
        <v>Equipe 20</v>
      </c>
      <c r="U184" s="69">
        <f>V89-W89+V93-W93+V97-W97</f>
        <v>0</v>
      </c>
      <c r="V184" s="681">
        <f>V83+4/10000000</f>
        <v>3.9999999999999998E-7</v>
      </c>
      <c r="W184" s="682"/>
    </row>
    <row r="185" spans="1:23" hidden="1" x14ac:dyDescent="0.25">
      <c r="A185" s="86">
        <f t="shared" ref="A185:A187" si="12">RANK(D185,$D$184:$E$187)</f>
        <v>2</v>
      </c>
      <c r="B185" s="69" t="str">
        <f>B84</f>
        <v>Equipe 22</v>
      </c>
      <c r="C185" s="69">
        <f>E89-D89+D94-E94+D98-E98</f>
        <v>0</v>
      </c>
      <c r="D185" s="681">
        <f>D84+3/10000000</f>
        <v>2.9999999999999999E-7</v>
      </c>
      <c r="E185" s="767"/>
      <c r="F185" s="774"/>
      <c r="G185" s="91">
        <f t="shared" ref="G185:G187" si="13">RANK(J185,$J$184:$J$187)</f>
        <v>2</v>
      </c>
      <c r="H185" s="69" t="str">
        <f>H84</f>
        <v>Equipe 23</v>
      </c>
      <c r="I185" s="69">
        <f>K89-J89+J94-K94+J98-K98</f>
        <v>0</v>
      </c>
      <c r="J185" s="681">
        <f>J84+3/10000000</f>
        <v>2.9999999999999999E-7</v>
      </c>
      <c r="K185" s="767"/>
      <c r="L185" s="76"/>
      <c r="M185" s="91" t="e">
        <f t="shared" ref="M185:M187" si="14">RANK(P185,$P$184:$P$187)</f>
        <v>#REF!</v>
      </c>
      <c r="N185" s="69" t="str">
        <f>N84</f>
        <v>Equipe 24</v>
      </c>
      <c r="O185" s="69">
        <f>Q89-P89+P94-Q94+P98-Q98</f>
        <v>0</v>
      </c>
      <c r="P185" s="681" t="e">
        <f>#REF!+3/10000000</f>
        <v>#REF!</v>
      </c>
      <c r="Q185" s="767"/>
      <c r="R185" s="105"/>
      <c r="S185" s="86">
        <f t="shared" ref="S185:S187" si="15">RANK(V185,$V$184:$V$187)</f>
        <v>2</v>
      </c>
      <c r="T185" s="69" t="str">
        <f>T84</f>
        <v>Equipe 21</v>
      </c>
      <c r="U185" s="69">
        <f>W89-V89+V94-W94+V98-W98</f>
        <v>0</v>
      </c>
      <c r="V185" s="681">
        <f>V84+3/10000000</f>
        <v>2.9999999999999999E-7</v>
      </c>
      <c r="W185" s="682"/>
    </row>
    <row r="186" spans="1:23" hidden="1" x14ac:dyDescent="0.25">
      <c r="A186" s="86">
        <f t="shared" si="12"/>
        <v>3</v>
      </c>
      <c r="B186" s="69" t="str">
        <f>B85</f>
        <v>Equipe 27</v>
      </c>
      <c r="C186" s="69">
        <f>D90-E90+E93-D93+E98-D98</f>
        <v>0</v>
      </c>
      <c r="D186" s="681">
        <f>D85+2/10000000</f>
        <v>1.9999999999999999E-7</v>
      </c>
      <c r="E186" s="767"/>
      <c r="F186" s="774"/>
      <c r="G186" s="91">
        <f t="shared" si="13"/>
        <v>3</v>
      </c>
      <c r="H186" s="69" t="str">
        <f>H85</f>
        <v>Equipe 28</v>
      </c>
      <c r="I186" s="69">
        <f>J90-K90+K93-J93+K98-J98</f>
        <v>0</v>
      </c>
      <c r="J186" s="681">
        <f>J85+2/10000000</f>
        <v>1.9999999999999999E-7</v>
      </c>
      <c r="K186" s="767"/>
      <c r="L186" s="76"/>
      <c r="M186" s="91" t="e">
        <f t="shared" si="14"/>
        <v>#REF!</v>
      </c>
      <c r="N186" s="69" t="str">
        <f>N85</f>
        <v>Equipe 25</v>
      </c>
      <c r="O186" s="69">
        <f>P90-Q90+Q93-P93+Q98-P98</f>
        <v>0</v>
      </c>
      <c r="P186" s="681" t="e">
        <f>#REF!+2/10000000</f>
        <v>#REF!</v>
      </c>
      <c r="Q186" s="767"/>
      <c r="R186" s="105"/>
      <c r="S186" s="86">
        <f t="shared" si="15"/>
        <v>3</v>
      </c>
      <c r="T186" s="69" t="str">
        <f>T85</f>
        <v>Equipe 26</v>
      </c>
      <c r="U186" s="69">
        <f>V90-W90+W93-V93+W98-V98</f>
        <v>0</v>
      </c>
      <c r="V186" s="681">
        <f>V85+2/10000000</f>
        <v>1.9999999999999999E-7</v>
      </c>
      <c r="W186" s="682"/>
    </row>
    <row r="187" spans="1:23" ht="15.75" hidden="1" thickBot="1" x14ac:dyDescent="0.3">
      <c r="A187" s="87">
        <f t="shared" si="12"/>
        <v>4</v>
      </c>
      <c r="B187" s="88" t="str">
        <f>B86</f>
        <v>Equipe 32</v>
      </c>
      <c r="C187" s="88">
        <f>E90-D90+E94-D94+E97-D97</f>
        <v>0</v>
      </c>
      <c r="D187" s="709">
        <f>D86+1/10000000</f>
        <v>9.9999999999999995E-8</v>
      </c>
      <c r="E187" s="761"/>
      <c r="F187" s="775"/>
      <c r="G187" s="92">
        <f t="shared" si="13"/>
        <v>4</v>
      </c>
      <c r="H187" s="88" t="str">
        <f>H86</f>
        <v>Equipe 29</v>
      </c>
      <c r="I187" s="88">
        <f>K90-J90+K94-J94+K97-J97</f>
        <v>0</v>
      </c>
      <c r="J187" s="709">
        <f>J86+1/10000000</f>
        <v>9.9999999999999995E-8</v>
      </c>
      <c r="K187" s="761"/>
      <c r="L187" s="78"/>
      <c r="M187" s="92" t="e">
        <f t="shared" si="14"/>
        <v>#REF!</v>
      </c>
      <c r="N187" s="88" t="str">
        <f>N86</f>
        <v>Equipe 30</v>
      </c>
      <c r="O187" s="88">
        <f>Q90-P90+Q94-P94+Q97-P97</f>
        <v>0</v>
      </c>
      <c r="P187" s="709" t="e">
        <f>#REF!+1/10000000</f>
        <v>#REF!</v>
      </c>
      <c r="Q187" s="761"/>
      <c r="R187" s="123"/>
      <c r="S187" s="87">
        <f t="shared" si="15"/>
        <v>4</v>
      </c>
      <c r="T187" s="88" t="str">
        <f>T86</f>
        <v>Equipe 31</v>
      </c>
      <c r="U187" s="88">
        <f>W90-V90+W94-V94+W97-V97</f>
        <v>0</v>
      </c>
      <c r="V187" s="709">
        <f>V86+1/10000000</f>
        <v>9.9999999999999995E-8</v>
      </c>
      <c r="W187" s="710"/>
    </row>
    <row r="188" spans="1:23" hidden="1" x14ac:dyDescent="0.25">
      <c r="A188" s="700"/>
      <c r="B188" s="700"/>
      <c r="C188" s="700"/>
      <c r="D188" s="700"/>
      <c r="E188" s="700"/>
      <c r="F188" s="700"/>
      <c r="G188" s="700"/>
      <c r="H188" s="700"/>
      <c r="I188" s="700"/>
      <c r="J188" s="700"/>
      <c r="K188" s="700"/>
      <c r="L188" s="700"/>
      <c r="M188" s="700"/>
      <c r="N188" s="700"/>
      <c r="O188" s="700"/>
      <c r="P188" s="700"/>
      <c r="Q188" s="700"/>
    </row>
    <row r="189" spans="1:23" hidden="1" x14ac:dyDescent="0.25">
      <c r="A189" s="1">
        <f>IF(D89="",0,(IF(D89&gt;E89,3,IF(D89=E89,1,0))))</f>
        <v>0</v>
      </c>
      <c r="B189" s="1">
        <f>IF(E89="",0,(IF(E89&gt;D89,3,IF(E89=D89,1,0))))</f>
        <v>0</v>
      </c>
      <c r="G189" s="1">
        <f>IF(J89="",0,(IF(J89&gt;K89,3,IF(J89=K89,1,0))))</f>
        <v>0</v>
      </c>
      <c r="H189" s="1">
        <f>IF(K89="",0,(IF(K89&gt;J89,3,IF(K89=J89,1,0))))</f>
        <v>0</v>
      </c>
      <c r="M189" s="1">
        <f>IF(P89="",0,(IF(P89&gt;Q89,3,IF(P89=Q89,1,0))))</f>
        <v>0</v>
      </c>
      <c r="N189" s="1">
        <f>IF(Q89="",0,(IF(Q89&gt;P89,3,IF(Q89=P89,1,0))))</f>
        <v>0</v>
      </c>
      <c r="S189" s="1">
        <f>IF(V89="",0,(IF(V89&gt;W89,3,IF(V89=W89,1,0))))</f>
        <v>0</v>
      </c>
      <c r="T189" s="1">
        <f>IF(W89="",0,(IF(W89&gt;V89,3,IF(W89=V89,1,0))))</f>
        <v>0</v>
      </c>
    </row>
    <row r="190" spans="1:23" hidden="1" x14ac:dyDescent="0.25">
      <c r="A190" s="1">
        <f>IF(D90="",0,(IF(D90&gt;E90,3,IF(D90=E90,1,0))))</f>
        <v>0</v>
      </c>
      <c r="B190" s="1">
        <f>IF(E90="",0,(IF(E90&gt;D90,3,IF(E90=D90,1,0))))</f>
        <v>0</v>
      </c>
      <c r="G190" s="1">
        <f>IF(J90="",0,(IF(J90&gt;K90,3,IF(J90=K90,1,0))))</f>
        <v>0</v>
      </c>
      <c r="H190" s="1">
        <f>IF(K90="",0,(IF(K90&gt;J90,3,IF(K90=J90,1,0))))</f>
        <v>0</v>
      </c>
      <c r="M190" s="1">
        <f>IF(P90="",0,(IF(P90&gt;Q90,3,IF(P90=Q90,1,0))))</f>
        <v>0</v>
      </c>
      <c r="N190" s="1">
        <f>IF(Q90="",0,(IF(Q90&gt;P90,3,IF(Q90=P90,1,0))))</f>
        <v>0</v>
      </c>
      <c r="S190" s="1">
        <f>IF(V90="",0,(IF(V90&gt;W90,3,IF(V90=W90,1,0))))</f>
        <v>0</v>
      </c>
      <c r="T190" s="1">
        <f>IF(W90="",0,(IF(W90&gt;V90,3,IF(W90=V90,1,0))))</f>
        <v>0</v>
      </c>
    </row>
    <row r="191" spans="1:23" hidden="1" x14ac:dyDescent="0.25"/>
    <row r="192" spans="1:23" hidden="1" x14ac:dyDescent="0.25"/>
    <row r="193" spans="1:20" hidden="1" x14ac:dyDescent="0.25">
      <c r="A193" s="1">
        <f>IF(D93="",0,(IF(D93&gt;E93,3,IF(D93=E93,1,0))))</f>
        <v>0</v>
      </c>
      <c r="B193" s="1">
        <f>IF(E93="",0,(IF(E93&gt;D93,3,IF(E93=D93,1,0))))</f>
        <v>0</v>
      </c>
      <c r="G193" s="1">
        <f>IF(J93="",0,(IF(J93&gt;K93,3,IF(J93=K93,1,0))))</f>
        <v>0</v>
      </c>
      <c r="H193" s="1">
        <f>IF(K93="",0,(IF(K93&gt;J93,3,IF(K93=J93,1,0))))</f>
        <v>0</v>
      </c>
      <c r="M193" s="1">
        <f>IF(P93="",0,(IF(P93&gt;Q93,3,IF(P93=Q93,1,0))))</f>
        <v>0</v>
      </c>
      <c r="N193" s="1">
        <f>IF(Q93="",0,(IF(Q93&gt;P93,3,IF(Q93=P93,1,0))))</f>
        <v>0</v>
      </c>
      <c r="S193" s="1">
        <f>IF(V93="",0,(IF(V93&gt;W93,3,IF(V93=W93,1,0))))</f>
        <v>0</v>
      </c>
      <c r="T193" s="1">
        <f>IF(W93="",0,(IF(W93&gt;V93,3,IF(W93=V93,1,0))))</f>
        <v>0</v>
      </c>
    </row>
    <row r="194" spans="1:20" hidden="1" x14ac:dyDescent="0.25">
      <c r="A194" s="1">
        <f>IF(D94="",0,(IF(D94&gt;E94,3,IF(D94=E94,1,0))))</f>
        <v>0</v>
      </c>
      <c r="B194" s="1">
        <f>IF(E94="",0,(IF(E94&gt;D94,3,IF(E94=D94,1,0))))</f>
        <v>0</v>
      </c>
      <c r="G194" s="1">
        <f>IF(J94="",0,(IF(J94&gt;K94,3,IF(J94=K94,1,0))))</f>
        <v>0</v>
      </c>
      <c r="H194" s="1">
        <f>IF(K94="",0,(IF(K94&gt;J94,3,IF(K94=J94,1,0))))</f>
        <v>0</v>
      </c>
      <c r="M194" s="1">
        <f>IF(P94="",0,(IF(P94&gt;Q94,3,IF(P94=Q94,1,0))))</f>
        <v>0</v>
      </c>
      <c r="N194" s="1">
        <f>IF(Q94="",0,(IF(Q94&gt;P94,3,IF(Q94=P94,1,0))))</f>
        <v>0</v>
      </c>
      <c r="S194" s="1">
        <f>IF(V94="",0,(IF(V94&gt;W94,3,IF(V94=W94,1,0))))</f>
        <v>0</v>
      </c>
      <c r="T194" s="1">
        <f>IF(W94="",0,(IF(W94&gt;V94,3,IF(W94=V94,1,0))))</f>
        <v>0</v>
      </c>
    </row>
    <row r="195" spans="1:20" hidden="1" x14ac:dyDescent="0.25"/>
    <row r="196" spans="1:20" hidden="1" x14ac:dyDescent="0.25"/>
    <row r="197" spans="1:20" hidden="1" x14ac:dyDescent="0.25">
      <c r="A197" s="1">
        <f>IF(D97="",0,(IF(D97&gt;E97,3,IF(D97=E97,1,0))))</f>
        <v>0</v>
      </c>
      <c r="B197" s="1">
        <f>IF(E97="",0,(IF(E97&gt;D97,3,IF(E97=D97,1,0))))</f>
        <v>0</v>
      </c>
      <c r="G197" s="1">
        <f>IF(J97="",0,(IF(J97&gt;K97,3,IF(J97=K97,1,0))))</f>
        <v>0</v>
      </c>
      <c r="H197" s="1">
        <f>IF(K97="",0,(IF(K97&gt;J97,3,IF(K97=J97,1,0))))</f>
        <v>0</v>
      </c>
      <c r="M197" s="1">
        <f>IF(P97="",0,(IF(P97&gt;Q97,3,IF(P97=Q97,1,0))))</f>
        <v>0</v>
      </c>
      <c r="N197" s="1">
        <f>IF(Q97="",0,(IF(Q97&gt;P97,3,IF(Q97=P97,1,0))))</f>
        <v>0</v>
      </c>
      <c r="S197" s="1">
        <f>IF(V97="",0,(IF(V97&gt;W97,3,IF(V97=W97,1,0))))</f>
        <v>0</v>
      </c>
      <c r="T197" s="1">
        <f>IF(W97="",0,(IF(W97&gt;V97,3,IF(W97=V97,1,0))))</f>
        <v>0</v>
      </c>
    </row>
    <row r="198" spans="1:20" hidden="1" x14ac:dyDescent="0.25">
      <c r="A198" s="1">
        <f>IF(D98="",0,(IF(D98&gt;E98,3,IF(D98=E98,1,0))))</f>
        <v>0</v>
      </c>
      <c r="B198" s="1">
        <f>IF(E98="",0,(IF(E98&gt;D98,3,IF(E98=D98,1,0))))</f>
        <v>0</v>
      </c>
      <c r="G198" s="1">
        <f>IF(J98="",0,(IF(J98&gt;K98,3,IF(J98=K98,1,0))))</f>
        <v>0</v>
      </c>
      <c r="H198" s="1">
        <f>IF(K98="",0,(IF(K98&gt;J98,3,IF(K98=J98,1,0))))</f>
        <v>0</v>
      </c>
      <c r="M198" s="1">
        <f>IF(P98="",0,(IF(P98&gt;Q98,3,IF(P98=Q98,1,0))))</f>
        <v>0</v>
      </c>
      <c r="N198" s="1">
        <f>IF(Q98="",0,(IF(Q98&gt;P98,3,IF(Q98=P98,1,0))))</f>
        <v>0</v>
      </c>
      <c r="S198" s="1">
        <f>IF(V98="",0,(IF(V98&gt;W98,3,IF(V98=W98,1,0))))</f>
        <v>0</v>
      </c>
      <c r="T198" s="1">
        <f>IF(W98="",0,(IF(W98&gt;V98,3,IF(W98=V98,1,0))))</f>
        <v>0</v>
      </c>
    </row>
    <row r="199" spans="1:20" hidden="1" x14ac:dyDescent="0.25"/>
    <row r="200" spans="1:20" hidden="1" x14ac:dyDescent="0.25"/>
    <row r="201" spans="1:20" hidden="1" x14ac:dyDescent="0.25"/>
    <row r="202" spans="1:20" hidden="1" x14ac:dyDescent="0.25"/>
    <row r="203" spans="1:20" hidden="1" x14ac:dyDescent="0.25"/>
    <row r="204" spans="1:20" hidden="1" x14ac:dyDescent="0.25"/>
    <row r="205" spans="1:20" hidden="1" x14ac:dyDescent="0.25"/>
    <row r="206" spans="1:20" hidden="1" x14ac:dyDescent="0.25"/>
  </sheetData>
  <sheetProtection sheet="1" scenarios="1" selectLockedCells="1"/>
  <mergeCells count="431">
    <mergeCell ref="A1:T1"/>
    <mergeCell ref="U1:W5"/>
    <mergeCell ref="E4:G4"/>
    <mergeCell ref="I4:K4"/>
    <mergeCell ref="L4:M4"/>
    <mergeCell ref="E5:G5"/>
    <mergeCell ref="L5:M5"/>
    <mergeCell ref="R5:S5"/>
    <mergeCell ref="A6:H6"/>
    <mergeCell ref="J6:L6"/>
    <mergeCell ref="O6:W6"/>
    <mergeCell ref="A7:E7"/>
    <mergeCell ref="F7:F24"/>
    <mergeCell ref="G7:K7"/>
    <mergeCell ref="M7:Q7"/>
    <mergeCell ref="R7:R24"/>
    <mergeCell ref="S7:W7"/>
    <mergeCell ref="B8:C8"/>
    <mergeCell ref="B10:C10"/>
    <mergeCell ref="H10:I10"/>
    <mergeCell ref="N10:O10"/>
    <mergeCell ref="B9:C9"/>
    <mergeCell ref="H9:I9"/>
    <mergeCell ref="N9:O9"/>
    <mergeCell ref="T9:U9"/>
    <mergeCell ref="V8:W12"/>
    <mergeCell ref="H8:I8"/>
    <mergeCell ref="N8:O8"/>
    <mergeCell ref="T8:U8"/>
    <mergeCell ref="T18:U18"/>
    <mergeCell ref="B22:C22"/>
    <mergeCell ref="H22:I22"/>
    <mergeCell ref="N22:O22"/>
    <mergeCell ref="T22:U22"/>
    <mergeCell ref="B18:C18"/>
    <mergeCell ref="H18:I18"/>
    <mergeCell ref="N18:O18"/>
    <mergeCell ref="T12:U12"/>
    <mergeCell ref="B14:C14"/>
    <mergeCell ref="H14:I14"/>
    <mergeCell ref="N14:O14"/>
    <mergeCell ref="T14:U14"/>
    <mergeCell ref="B12:C12"/>
    <mergeCell ref="H12:I12"/>
    <mergeCell ref="N12:O12"/>
    <mergeCell ref="D8:E12"/>
    <mergeCell ref="J8:K12"/>
    <mergeCell ref="P8:Q12"/>
    <mergeCell ref="T10:U10"/>
    <mergeCell ref="B11:C11"/>
    <mergeCell ref="H11:I11"/>
    <mergeCell ref="N11:O11"/>
    <mergeCell ref="T11:U11"/>
    <mergeCell ref="A26:W26"/>
    <mergeCell ref="B27:C27"/>
    <mergeCell ref="D27:E27"/>
    <mergeCell ref="H27:I27"/>
    <mergeCell ref="J27:K27"/>
    <mergeCell ref="N27:O27"/>
    <mergeCell ref="P27:Q27"/>
    <mergeCell ref="T27:U27"/>
    <mergeCell ref="V27:W27"/>
    <mergeCell ref="T28:U28"/>
    <mergeCell ref="V28:W28"/>
    <mergeCell ref="B29:C29"/>
    <mergeCell ref="D29:E29"/>
    <mergeCell ref="H29:I29"/>
    <mergeCell ref="J29:K29"/>
    <mergeCell ref="N29:O29"/>
    <mergeCell ref="P29:Q29"/>
    <mergeCell ref="T29:U29"/>
    <mergeCell ref="V29:W29"/>
    <mergeCell ref="B28:C28"/>
    <mergeCell ref="D28:E28"/>
    <mergeCell ref="H28:I28"/>
    <mergeCell ref="J28:K28"/>
    <mergeCell ref="N28:O28"/>
    <mergeCell ref="P28:Q28"/>
    <mergeCell ref="T30:U30"/>
    <mergeCell ref="V30:W30"/>
    <mergeCell ref="B31:C31"/>
    <mergeCell ref="D31:E31"/>
    <mergeCell ref="H31:I31"/>
    <mergeCell ref="J31:K31"/>
    <mergeCell ref="N31:O31"/>
    <mergeCell ref="P31:Q31"/>
    <mergeCell ref="T31:U31"/>
    <mergeCell ref="V31:W31"/>
    <mergeCell ref="B30:C30"/>
    <mergeCell ref="D30:E30"/>
    <mergeCell ref="H30:I30"/>
    <mergeCell ref="J30:K30"/>
    <mergeCell ref="N30:O30"/>
    <mergeCell ref="P30:Q30"/>
    <mergeCell ref="V34:W38"/>
    <mergeCell ref="A32:W32"/>
    <mergeCell ref="A33:E33"/>
    <mergeCell ref="F33:F50"/>
    <mergeCell ref="G33:K33"/>
    <mergeCell ref="L33:L50"/>
    <mergeCell ref="M33:Q33"/>
    <mergeCell ref="R33:R50"/>
    <mergeCell ref="S33:W33"/>
    <mergeCell ref="B34:C34"/>
    <mergeCell ref="B44:C44"/>
    <mergeCell ref="H44:I44"/>
    <mergeCell ref="N44:O44"/>
    <mergeCell ref="T44:U44"/>
    <mergeCell ref="B40:C40"/>
    <mergeCell ref="H40:I40"/>
    <mergeCell ref="N40:O40"/>
    <mergeCell ref="D40:E42"/>
    <mergeCell ref="T37:U37"/>
    <mergeCell ref="B38:C38"/>
    <mergeCell ref="H38:I38"/>
    <mergeCell ref="N38:O38"/>
    <mergeCell ref="T38:U38"/>
    <mergeCell ref="B37:C37"/>
    <mergeCell ref="H37:I37"/>
    <mergeCell ref="N37:O37"/>
    <mergeCell ref="D34:E38"/>
    <mergeCell ref="J34:K38"/>
    <mergeCell ref="P34:Q38"/>
    <mergeCell ref="T35:U35"/>
    <mergeCell ref="B36:C36"/>
    <mergeCell ref="H36:I36"/>
    <mergeCell ref="N36:O36"/>
    <mergeCell ref="T36:U36"/>
    <mergeCell ref="B35:C35"/>
    <mergeCell ref="H35:I35"/>
    <mergeCell ref="N35:O35"/>
    <mergeCell ref="H34:I34"/>
    <mergeCell ref="N34:O34"/>
    <mergeCell ref="T34:U34"/>
    <mergeCell ref="A52:W52"/>
    <mergeCell ref="B53:C53"/>
    <mergeCell ref="D53:E53"/>
    <mergeCell ref="H53:I53"/>
    <mergeCell ref="J53:K53"/>
    <mergeCell ref="N53:O53"/>
    <mergeCell ref="P53:Q53"/>
    <mergeCell ref="T53:U53"/>
    <mergeCell ref="B48:C48"/>
    <mergeCell ref="H48:I48"/>
    <mergeCell ref="N48:O48"/>
    <mergeCell ref="V53:W53"/>
    <mergeCell ref="B54:C54"/>
    <mergeCell ref="D54:E54"/>
    <mergeCell ref="H54:I54"/>
    <mergeCell ref="J54:K54"/>
    <mergeCell ref="N54:O54"/>
    <mergeCell ref="P54:Q54"/>
    <mergeCell ref="T54:U54"/>
    <mergeCell ref="V54:W54"/>
    <mergeCell ref="T55:U55"/>
    <mergeCell ref="V55:W55"/>
    <mergeCell ref="B56:C56"/>
    <mergeCell ref="D56:E56"/>
    <mergeCell ref="H56:I56"/>
    <mergeCell ref="J56:K56"/>
    <mergeCell ref="N56:O56"/>
    <mergeCell ref="P56:Q56"/>
    <mergeCell ref="T56:U56"/>
    <mergeCell ref="V56:W56"/>
    <mergeCell ref="B55:C55"/>
    <mergeCell ref="D55:E55"/>
    <mergeCell ref="H55:I55"/>
    <mergeCell ref="J55:K55"/>
    <mergeCell ref="N55:O55"/>
    <mergeCell ref="P55:Q55"/>
    <mergeCell ref="T57:U57"/>
    <mergeCell ref="V57:W57"/>
    <mergeCell ref="A58:W58"/>
    <mergeCell ref="A59:W59"/>
    <mergeCell ref="A60:W60"/>
    <mergeCell ref="A61:H61"/>
    <mergeCell ref="J61:L61"/>
    <mergeCell ref="O61:W61"/>
    <mergeCell ref="B57:C57"/>
    <mergeCell ref="D57:E57"/>
    <mergeCell ref="H57:I57"/>
    <mergeCell ref="J57:K57"/>
    <mergeCell ref="N57:O57"/>
    <mergeCell ref="P57:Q57"/>
    <mergeCell ref="S62:W62"/>
    <mergeCell ref="B63:C63"/>
    <mergeCell ref="H63:I63"/>
    <mergeCell ref="N63:O63"/>
    <mergeCell ref="T63:U63"/>
    <mergeCell ref="A62:E62"/>
    <mergeCell ref="F62:F79"/>
    <mergeCell ref="G62:K62"/>
    <mergeCell ref="L62:L79"/>
    <mergeCell ref="M62:Q62"/>
    <mergeCell ref="R62:R79"/>
    <mergeCell ref="B64:C64"/>
    <mergeCell ref="H64:I64"/>
    <mergeCell ref="B77:C77"/>
    <mergeCell ref="H77:I77"/>
    <mergeCell ref="N77:O77"/>
    <mergeCell ref="T77:U77"/>
    <mergeCell ref="B73:C73"/>
    <mergeCell ref="H73:I73"/>
    <mergeCell ref="N73:O73"/>
    <mergeCell ref="T67:U67"/>
    <mergeCell ref="B69:C69"/>
    <mergeCell ref="H69:I69"/>
    <mergeCell ref="N69:O69"/>
    <mergeCell ref="T69:U69"/>
    <mergeCell ref="B67:C67"/>
    <mergeCell ref="H67:I67"/>
    <mergeCell ref="N67:O67"/>
    <mergeCell ref="D63:E67"/>
    <mergeCell ref="P63:Q67"/>
    <mergeCell ref="J63:K67"/>
    <mergeCell ref="T65:U65"/>
    <mergeCell ref="B66:C66"/>
    <mergeCell ref="H66:I66"/>
    <mergeCell ref="N66:O66"/>
    <mergeCell ref="T66:U66"/>
    <mergeCell ref="N64:O64"/>
    <mergeCell ref="P69:Q71"/>
    <mergeCell ref="B65:C65"/>
    <mergeCell ref="H65:I65"/>
    <mergeCell ref="N65:O65"/>
    <mergeCell ref="A80:K80"/>
    <mergeCell ref="M80:W80"/>
    <mergeCell ref="A81:E81"/>
    <mergeCell ref="F81:F98"/>
    <mergeCell ref="G81:K81"/>
    <mergeCell ref="L81:L97"/>
    <mergeCell ref="M81:Q81"/>
    <mergeCell ref="R81:R98"/>
    <mergeCell ref="S81:W81"/>
    <mergeCell ref="B82:C82"/>
    <mergeCell ref="B96:C96"/>
    <mergeCell ref="H96:I96"/>
    <mergeCell ref="N96:O96"/>
    <mergeCell ref="T96:U96"/>
    <mergeCell ref="B92:C92"/>
    <mergeCell ref="H92:I92"/>
    <mergeCell ref="N92:O92"/>
    <mergeCell ref="B88:C88"/>
    <mergeCell ref="H88:I88"/>
    <mergeCell ref="N88:O88"/>
    <mergeCell ref="T88:U88"/>
    <mergeCell ref="B86:C86"/>
    <mergeCell ref="H86:I86"/>
    <mergeCell ref="N86:O86"/>
    <mergeCell ref="D82:E86"/>
    <mergeCell ref="T84:U84"/>
    <mergeCell ref="B85:C85"/>
    <mergeCell ref="H85:I85"/>
    <mergeCell ref="N85:O85"/>
    <mergeCell ref="T85:U85"/>
    <mergeCell ref="B84:C84"/>
    <mergeCell ref="H84:I84"/>
    <mergeCell ref="N84:O84"/>
    <mergeCell ref="P88:Q90"/>
    <mergeCell ref="B83:C83"/>
    <mergeCell ref="H83:I83"/>
    <mergeCell ref="N83:O83"/>
    <mergeCell ref="T83:U83"/>
    <mergeCell ref="H82:I82"/>
    <mergeCell ref="N82:O82"/>
    <mergeCell ref="T82:U82"/>
    <mergeCell ref="A99:W99"/>
    <mergeCell ref="A101:W101"/>
    <mergeCell ref="B102:C102"/>
    <mergeCell ref="D102:E102"/>
    <mergeCell ref="F102:F106"/>
    <mergeCell ref="H102:I102"/>
    <mergeCell ref="J102:K102"/>
    <mergeCell ref="N102:O102"/>
    <mergeCell ref="P102:Q102"/>
    <mergeCell ref="T102:U102"/>
    <mergeCell ref="D105:E105"/>
    <mergeCell ref="J105:K105"/>
    <mergeCell ref="P105:Q105"/>
    <mergeCell ref="V105:W105"/>
    <mergeCell ref="D106:E106"/>
    <mergeCell ref="J106:K106"/>
    <mergeCell ref="P106:Q106"/>
    <mergeCell ref="V106:W106"/>
    <mergeCell ref="V102:W102"/>
    <mergeCell ref="D103:E103"/>
    <mergeCell ref="J103:K103"/>
    <mergeCell ref="P103:Q103"/>
    <mergeCell ref="V103:W103"/>
    <mergeCell ref="D104:E104"/>
    <mergeCell ref="J104:K104"/>
    <mergeCell ref="P104:Q104"/>
    <mergeCell ref="V104:W104"/>
    <mergeCell ref="T128:U128"/>
    <mergeCell ref="V128:W128"/>
    <mergeCell ref="D129:E129"/>
    <mergeCell ref="J129:K129"/>
    <mergeCell ref="P129:Q129"/>
    <mergeCell ref="V129:W129"/>
    <mergeCell ref="A107:Q107"/>
    <mergeCell ref="A119:Q119"/>
    <mergeCell ref="A127:W127"/>
    <mergeCell ref="B128:C128"/>
    <mergeCell ref="D128:E128"/>
    <mergeCell ref="F128:F132"/>
    <mergeCell ref="H128:I128"/>
    <mergeCell ref="J128:K128"/>
    <mergeCell ref="N128:O128"/>
    <mergeCell ref="P128:Q128"/>
    <mergeCell ref="D132:E132"/>
    <mergeCell ref="J132:K132"/>
    <mergeCell ref="P132:Q132"/>
    <mergeCell ref="V132:W132"/>
    <mergeCell ref="A133:Q133"/>
    <mergeCell ref="A156:W156"/>
    <mergeCell ref="D130:E130"/>
    <mergeCell ref="J130:K130"/>
    <mergeCell ref="P130:Q130"/>
    <mergeCell ref="V130:W130"/>
    <mergeCell ref="D131:E131"/>
    <mergeCell ref="J131:K131"/>
    <mergeCell ref="P131:Q131"/>
    <mergeCell ref="V131:W131"/>
    <mergeCell ref="P157:Q157"/>
    <mergeCell ref="T157:U157"/>
    <mergeCell ref="V157:W157"/>
    <mergeCell ref="D158:E158"/>
    <mergeCell ref="J158:K158"/>
    <mergeCell ref="P158:Q158"/>
    <mergeCell ref="V158:W158"/>
    <mergeCell ref="B157:C157"/>
    <mergeCell ref="D157:E157"/>
    <mergeCell ref="F157:F161"/>
    <mergeCell ref="H157:I157"/>
    <mergeCell ref="J157:K157"/>
    <mergeCell ref="N157:O157"/>
    <mergeCell ref="D159:E159"/>
    <mergeCell ref="J159:K159"/>
    <mergeCell ref="D161:E161"/>
    <mergeCell ref="J161:K161"/>
    <mergeCell ref="A188:Q188"/>
    <mergeCell ref="D14:E16"/>
    <mergeCell ref="D18:E20"/>
    <mergeCell ref="D22:E24"/>
    <mergeCell ref="J14:K16"/>
    <mergeCell ref="J18:K20"/>
    <mergeCell ref="D185:E185"/>
    <mergeCell ref="J185:K185"/>
    <mergeCell ref="P185:Q185"/>
    <mergeCell ref="D186:E186"/>
    <mergeCell ref="J186:K186"/>
    <mergeCell ref="P186:Q186"/>
    <mergeCell ref="P183:Q183"/>
    <mergeCell ref="D184:E184"/>
    <mergeCell ref="J184:K184"/>
    <mergeCell ref="P184:Q184"/>
    <mergeCell ref="P161:Q161"/>
    <mergeCell ref="A162:Q162"/>
    <mergeCell ref="A182:W182"/>
    <mergeCell ref="B183:C183"/>
    <mergeCell ref="D183:E183"/>
    <mergeCell ref="F183:F187"/>
    <mergeCell ref="H183:I183"/>
    <mergeCell ref="J183:K183"/>
    <mergeCell ref="J22:K24"/>
    <mergeCell ref="P14:Q16"/>
    <mergeCell ref="V14:W16"/>
    <mergeCell ref="V18:W20"/>
    <mergeCell ref="V22:W24"/>
    <mergeCell ref="P18:Q20"/>
    <mergeCell ref="P22:Q24"/>
    <mergeCell ref="D187:E187"/>
    <mergeCell ref="J187:K187"/>
    <mergeCell ref="P187:Q187"/>
    <mergeCell ref="V187:W187"/>
    <mergeCell ref="V185:W185"/>
    <mergeCell ref="V186:W186"/>
    <mergeCell ref="T183:U183"/>
    <mergeCell ref="V183:W183"/>
    <mergeCell ref="V184:W184"/>
    <mergeCell ref="V161:W161"/>
    <mergeCell ref="N183:O183"/>
    <mergeCell ref="P159:Q159"/>
    <mergeCell ref="V159:W159"/>
    <mergeCell ref="D160:E160"/>
    <mergeCell ref="J160:K160"/>
    <mergeCell ref="P160:Q160"/>
    <mergeCell ref="V160:W160"/>
    <mergeCell ref="P40:Q42"/>
    <mergeCell ref="P44:Q46"/>
    <mergeCell ref="P48:Q50"/>
    <mergeCell ref="V40:W42"/>
    <mergeCell ref="V44:W46"/>
    <mergeCell ref="V48:W50"/>
    <mergeCell ref="D44:E46"/>
    <mergeCell ref="D48:E50"/>
    <mergeCell ref="J40:K42"/>
    <mergeCell ref="J44:K46"/>
    <mergeCell ref="J48:K50"/>
    <mergeCell ref="T48:U48"/>
    <mergeCell ref="T40:U40"/>
    <mergeCell ref="P73:Q75"/>
    <mergeCell ref="P77:Q79"/>
    <mergeCell ref="V63:W67"/>
    <mergeCell ref="V69:W71"/>
    <mergeCell ref="V73:W75"/>
    <mergeCell ref="V77:W79"/>
    <mergeCell ref="D69:E71"/>
    <mergeCell ref="D73:E75"/>
    <mergeCell ref="D77:E79"/>
    <mergeCell ref="J69:K71"/>
    <mergeCell ref="J73:K75"/>
    <mergeCell ref="J77:K79"/>
    <mergeCell ref="T73:U73"/>
    <mergeCell ref="T64:U64"/>
    <mergeCell ref="P92:Q94"/>
    <mergeCell ref="P96:Q98"/>
    <mergeCell ref="V82:W86"/>
    <mergeCell ref="V88:W90"/>
    <mergeCell ref="V92:W94"/>
    <mergeCell ref="V96:W98"/>
    <mergeCell ref="D88:E90"/>
    <mergeCell ref="D92:E94"/>
    <mergeCell ref="D96:E98"/>
    <mergeCell ref="J82:K86"/>
    <mergeCell ref="J88:K90"/>
    <mergeCell ref="J92:K94"/>
    <mergeCell ref="J96:K98"/>
    <mergeCell ref="P82:Q86"/>
    <mergeCell ref="T92:U92"/>
    <mergeCell ref="T86:U8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3" fitToHeight="2" orientation="landscape" horizontalDpi="300" verticalDpi="300" r:id="rId1"/>
  <rowBreaks count="1" manualBreakCount="1">
    <brk id="59" max="2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71"/>
  <sheetViews>
    <sheetView showGridLines="0" workbookViewId="0">
      <selection sqref="A1:S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80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383"/>
      <c r="U1" s="690"/>
      <c r="V1" s="691"/>
      <c r="W1" s="692"/>
    </row>
    <row r="2" spans="1:23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"/>
      <c r="U2" s="693"/>
      <c r="V2" s="694"/>
      <c r="W2" s="695"/>
    </row>
    <row r="3" spans="1:23" ht="24.95" customHeight="1" thickBot="1" x14ac:dyDescent="0.3">
      <c r="A3" s="736" t="s">
        <v>77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2"/>
      <c r="P3" s="2"/>
      <c r="Q3" s="2"/>
      <c r="R3" s="2"/>
      <c r="S3" s="2"/>
      <c r="T3" s="2"/>
      <c r="U3" s="693"/>
      <c r="V3" s="694"/>
      <c r="W3" s="695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0.39583333333333331</v>
      </c>
      <c r="F4" s="739"/>
      <c r="G4" s="740"/>
      <c r="H4" s="279"/>
      <c r="I4" s="741" t="s">
        <v>53</v>
      </c>
      <c r="J4" s="741"/>
      <c r="K4" s="741"/>
      <c r="L4" s="742">
        <f>(3*H7)+(2*T16)</f>
        <v>4.5138888888888895E-2</v>
      </c>
      <c r="M4" s="742"/>
      <c r="N4" s="264" t="s">
        <v>33</v>
      </c>
      <c r="O4" s="319"/>
      <c r="P4" s="200"/>
      <c r="Q4" s="200"/>
      <c r="R4" s="200"/>
      <c r="S4" s="200"/>
      <c r="T4" s="200"/>
      <c r="U4" s="693"/>
      <c r="V4" s="694"/>
      <c r="W4" s="695"/>
    </row>
    <row r="5" spans="1:23" ht="24.95" customHeight="1" thickBot="1" x14ac:dyDescent="0.3">
      <c r="A5" s="263" t="s">
        <v>32</v>
      </c>
      <c r="B5" s="104"/>
      <c r="C5" s="104"/>
      <c r="D5" s="104"/>
      <c r="E5" s="743">
        <f>S25-A15+T16+"00:02"</f>
        <v>0.2291666666666666</v>
      </c>
      <c r="F5" s="743"/>
      <c r="G5" s="743"/>
      <c r="H5" s="104"/>
      <c r="I5" s="312" t="s">
        <v>79</v>
      </c>
      <c r="J5" s="312"/>
      <c r="K5" s="312"/>
      <c r="L5" s="687">
        <v>2.0833333333333332E-2</v>
      </c>
      <c r="M5" s="688"/>
      <c r="N5" s="104"/>
      <c r="O5" s="2"/>
      <c r="P5" s="2"/>
      <c r="Q5" s="2"/>
      <c r="R5" s="2"/>
      <c r="S5" s="2"/>
      <c r="T5" s="332"/>
      <c r="U5" s="696"/>
      <c r="V5" s="697"/>
      <c r="W5" s="698"/>
    </row>
    <row r="6" spans="1:23" ht="52.35" customHeight="1" thickBot="1" x14ac:dyDescent="0.3">
      <c r="A6" s="263"/>
      <c r="B6" s="104"/>
      <c r="C6" s="104"/>
      <c r="D6" s="104"/>
      <c r="E6" s="265"/>
      <c r="F6" s="265"/>
      <c r="G6" s="265"/>
      <c r="H6" s="104"/>
      <c r="I6" s="312"/>
      <c r="J6" s="312"/>
      <c r="K6" s="312"/>
      <c r="L6" s="199"/>
      <c r="M6" s="199"/>
      <c r="N6" s="104"/>
      <c r="O6" s="2"/>
      <c r="P6" s="2"/>
      <c r="Q6" s="2"/>
      <c r="R6" s="2"/>
      <c r="S6" s="2"/>
      <c r="T6" s="332"/>
      <c r="U6" s="2"/>
      <c r="V6" s="2"/>
      <c r="W6" s="21"/>
    </row>
    <row r="7" spans="1:23" ht="16.5" thickBot="1" x14ac:dyDescent="0.3">
      <c r="A7" s="701" t="s">
        <v>35</v>
      </c>
      <c r="B7" s="685"/>
      <c r="C7" s="685"/>
      <c r="D7" s="686" t="s">
        <v>18</v>
      </c>
      <c r="E7" s="686"/>
      <c r="F7" s="686"/>
      <c r="G7" s="686"/>
      <c r="H7" s="275">
        <v>9.0277777777777787E-3</v>
      </c>
      <c r="I7" s="276" t="s">
        <v>17</v>
      </c>
      <c r="J7" s="20"/>
      <c r="K7" s="191"/>
      <c r="L7" s="351"/>
      <c r="M7" s="2"/>
      <c r="N7" s="2"/>
      <c r="O7" s="2"/>
      <c r="P7" s="2"/>
      <c r="Q7" s="2"/>
      <c r="R7" s="2"/>
      <c r="S7" s="2"/>
      <c r="T7" s="2"/>
      <c r="U7" s="2"/>
      <c r="V7" s="2"/>
      <c r="W7" s="21"/>
    </row>
    <row r="8" spans="1:23" ht="15" customHeight="1" x14ac:dyDescent="0.25">
      <c r="A8" s="6"/>
      <c r="B8" s="744" t="s">
        <v>41</v>
      </c>
      <c r="C8" s="745"/>
      <c r="D8" s="744" t="s">
        <v>15</v>
      </c>
      <c r="E8" s="746"/>
      <c r="F8" s="102"/>
      <c r="G8" s="7"/>
      <c r="H8" s="747" t="s">
        <v>42</v>
      </c>
      <c r="I8" s="748"/>
      <c r="J8" s="747" t="s">
        <v>15</v>
      </c>
      <c r="K8" s="749"/>
      <c r="L8" s="242"/>
      <c r="M8" s="2"/>
      <c r="N8" s="2"/>
      <c r="O8" s="2"/>
      <c r="P8" s="2"/>
      <c r="Q8" s="2"/>
      <c r="R8" s="2"/>
      <c r="S8" s="2"/>
      <c r="T8" s="2"/>
      <c r="U8" s="2"/>
      <c r="V8" s="2"/>
      <c r="W8" s="21"/>
    </row>
    <row r="9" spans="1:23" ht="15" customHeight="1" x14ac:dyDescent="0.25">
      <c r="A9" s="10">
        <v>1</v>
      </c>
      <c r="B9" s="731" t="s">
        <v>22</v>
      </c>
      <c r="C9" s="732"/>
      <c r="D9" s="725">
        <f>A42+A46+A50+C37/1000000</f>
        <v>0</v>
      </c>
      <c r="E9" s="726"/>
      <c r="F9" s="103"/>
      <c r="G9" s="11">
        <v>1</v>
      </c>
      <c r="H9" s="727" t="s">
        <v>26</v>
      </c>
      <c r="I9" s="728"/>
      <c r="J9" s="729">
        <f>G42+G46+G50+I37/1000000</f>
        <v>0</v>
      </c>
      <c r="K9" s="730"/>
      <c r="L9" s="242"/>
      <c r="M9" s="2"/>
      <c r="N9" s="2"/>
      <c r="O9" s="2"/>
      <c r="P9" s="2"/>
      <c r="Q9" s="2"/>
      <c r="R9" s="2"/>
      <c r="S9" s="2"/>
      <c r="T9" s="2"/>
      <c r="U9" s="2"/>
      <c r="V9" s="2"/>
      <c r="W9" s="21"/>
    </row>
    <row r="10" spans="1:23" ht="15" customHeight="1" x14ac:dyDescent="0.25">
      <c r="A10" s="10">
        <v>2</v>
      </c>
      <c r="B10" s="731" t="s">
        <v>23</v>
      </c>
      <c r="C10" s="732"/>
      <c r="D10" s="725">
        <f>B42+A47+A51+C38/1000000</f>
        <v>0</v>
      </c>
      <c r="E10" s="726"/>
      <c r="F10" s="103"/>
      <c r="G10" s="11">
        <v>2</v>
      </c>
      <c r="H10" s="727" t="s">
        <v>27</v>
      </c>
      <c r="I10" s="728"/>
      <c r="J10" s="729">
        <f>H42+G47+G51+I38/1000000</f>
        <v>0</v>
      </c>
      <c r="K10" s="730"/>
      <c r="L10" s="242"/>
      <c r="M10" s="2"/>
      <c r="N10" s="2"/>
      <c r="O10" s="2"/>
      <c r="P10" s="2"/>
      <c r="Q10" s="2"/>
      <c r="R10" s="2"/>
      <c r="S10" s="2"/>
      <c r="T10" s="2"/>
      <c r="U10" s="2"/>
      <c r="V10" s="2"/>
      <c r="W10" s="21"/>
    </row>
    <row r="11" spans="1:23" ht="15" customHeight="1" x14ac:dyDescent="0.25">
      <c r="A11" s="10">
        <v>3</v>
      </c>
      <c r="B11" s="731" t="s">
        <v>24</v>
      </c>
      <c r="C11" s="732"/>
      <c r="D11" s="725">
        <f>A43+B46+B51+C39/1000000</f>
        <v>0</v>
      </c>
      <c r="E11" s="726"/>
      <c r="F11" s="103"/>
      <c r="G11" s="11">
        <v>3</v>
      </c>
      <c r="H11" s="727" t="s">
        <v>28</v>
      </c>
      <c r="I11" s="728"/>
      <c r="J11" s="729">
        <f>G43+H46+H51+I39/1000000</f>
        <v>0</v>
      </c>
      <c r="K11" s="730"/>
      <c r="L11" s="242"/>
      <c r="M11" s="2"/>
      <c r="N11" s="2"/>
      <c r="O11" s="2"/>
      <c r="P11" s="2"/>
      <c r="Q11" s="2"/>
      <c r="R11" s="2"/>
      <c r="S11" s="2"/>
      <c r="T11" s="2"/>
      <c r="U11" s="2"/>
      <c r="V11" s="2"/>
      <c r="W11" s="21"/>
    </row>
    <row r="12" spans="1:23" ht="15" customHeight="1" thickBot="1" x14ac:dyDescent="0.3">
      <c r="A12" s="15">
        <v>4</v>
      </c>
      <c r="B12" s="717" t="s">
        <v>25</v>
      </c>
      <c r="C12" s="718"/>
      <c r="D12" s="719">
        <f>B43+B47+B50+C40/1000000</f>
        <v>0</v>
      </c>
      <c r="E12" s="720"/>
      <c r="F12" s="103"/>
      <c r="G12" s="16">
        <v>4</v>
      </c>
      <c r="H12" s="721" t="s">
        <v>29</v>
      </c>
      <c r="I12" s="722"/>
      <c r="J12" s="723">
        <f>H43+H47+H50+I40/1000000</f>
        <v>0</v>
      </c>
      <c r="K12" s="724"/>
      <c r="L12" s="242"/>
      <c r="M12" s="2"/>
      <c r="N12" s="2"/>
      <c r="O12" s="2"/>
      <c r="P12" s="2"/>
      <c r="Q12" s="2"/>
      <c r="R12" s="2"/>
      <c r="S12" s="2"/>
      <c r="T12" s="2"/>
      <c r="U12" s="2"/>
      <c r="V12" s="2"/>
      <c r="W12" s="21"/>
    </row>
    <row r="13" spans="1:23" ht="15" customHeight="1" thickBot="1" x14ac:dyDescent="0.3">
      <c r="A13" s="19"/>
      <c r="B13" s="2"/>
      <c r="C13" s="2"/>
      <c r="D13" s="2"/>
      <c r="E13" s="2"/>
      <c r="F13" s="2"/>
      <c r="G13" s="2"/>
      <c r="H13" s="2"/>
      <c r="I13" s="22"/>
      <c r="J13" s="2"/>
      <c r="K13" s="21"/>
      <c r="L13" s="242"/>
      <c r="M13" s="2"/>
      <c r="N13" s="2"/>
      <c r="O13" s="2"/>
      <c r="P13" s="2"/>
      <c r="Q13" s="2"/>
      <c r="R13" s="2"/>
      <c r="S13" s="2"/>
      <c r="T13" s="2"/>
      <c r="U13" s="2"/>
      <c r="V13" s="2"/>
      <c r="W13" s="21"/>
    </row>
    <row r="14" spans="1:23" s="29" customFormat="1" ht="15" customHeight="1" x14ac:dyDescent="0.25">
      <c r="A14" s="24"/>
      <c r="B14" s="713" t="s">
        <v>5</v>
      </c>
      <c r="C14" s="713"/>
      <c r="D14" s="713" t="s">
        <v>16</v>
      </c>
      <c r="E14" s="714"/>
      <c r="F14" s="25"/>
      <c r="G14" s="26"/>
      <c r="H14" s="715" t="s">
        <v>5</v>
      </c>
      <c r="I14" s="715"/>
      <c r="J14" s="715" t="s">
        <v>16</v>
      </c>
      <c r="K14" s="716"/>
      <c r="L14" s="24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333"/>
    </row>
    <row r="15" spans="1:23" ht="15" customHeight="1" thickBot="1" x14ac:dyDescent="0.3">
      <c r="A15" s="30">
        <f>E4</f>
        <v>0.39583333333333331</v>
      </c>
      <c r="B15" s="31" t="str">
        <f>B9</f>
        <v>Equipe 1</v>
      </c>
      <c r="C15" s="31" t="str">
        <f>B10</f>
        <v>Equipe 2</v>
      </c>
      <c r="D15" s="53"/>
      <c r="E15" s="54"/>
      <c r="F15" s="2"/>
      <c r="G15" s="32">
        <f>A16+$H$7+"00:02"</f>
        <v>0.41666666666666669</v>
      </c>
      <c r="H15" s="33" t="str">
        <f>H9</f>
        <v>Equipe 5</v>
      </c>
      <c r="I15" s="33" t="str">
        <f>H10</f>
        <v>Equipe 6</v>
      </c>
      <c r="J15" s="57"/>
      <c r="K15" s="58"/>
      <c r="L15" s="242"/>
      <c r="M15" s="2"/>
      <c r="N15" s="2"/>
      <c r="O15" s="2"/>
      <c r="P15" s="2"/>
      <c r="Q15" s="2"/>
      <c r="R15" s="2"/>
      <c r="S15" s="2"/>
      <c r="T15" s="2"/>
      <c r="U15" s="2"/>
      <c r="V15" s="2"/>
      <c r="W15" s="21"/>
    </row>
    <row r="16" spans="1:23" ht="15" customHeight="1" thickBot="1" x14ac:dyDescent="0.3">
      <c r="A16" s="38">
        <f>A15+$H$7+"00:02"</f>
        <v>0.40625</v>
      </c>
      <c r="B16" s="39" t="str">
        <f>B11</f>
        <v>Equipe 3</v>
      </c>
      <c r="C16" s="39" t="str">
        <f>B12</f>
        <v>Equipe 4</v>
      </c>
      <c r="D16" s="55"/>
      <c r="E16" s="56"/>
      <c r="F16" s="2"/>
      <c r="G16" s="40">
        <f>G15+$H$7+"00:02"</f>
        <v>0.42708333333333337</v>
      </c>
      <c r="H16" s="41" t="str">
        <f>H11</f>
        <v>Equipe 7</v>
      </c>
      <c r="I16" s="41" t="str">
        <f>H12</f>
        <v>Equipe 8</v>
      </c>
      <c r="J16" s="59"/>
      <c r="K16" s="60"/>
      <c r="L16" s="242"/>
      <c r="M16" s="685" t="s">
        <v>78</v>
      </c>
      <c r="N16" s="685"/>
      <c r="O16" s="685"/>
      <c r="P16" s="686" t="s">
        <v>18</v>
      </c>
      <c r="Q16" s="686"/>
      <c r="R16" s="686"/>
      <c r="S16" s="686"/>
      <c r="T16" s="275">
        <v>9.0277777777777787E-3</v>
      </c>
      <c r="U16" s="276" t="s">
        <v>17</v>
      </c>
      <c r="V16" s="20"/>
      <c r="W16" s="191"/>
    </row>
    <row r="17" spans="1:24" ht="15" customHeight="1" thickBot="1" x14ac:dyDescent="0.3">
      <c r="A17" s="19"/>
      <c r="B17" s="2"/>
      <c r="C17" s="2"/>
      <c r="D17" s="281"/>
      <c r="E17" s="281"/>
      <c r="F17" s="2"/>
      <c r="G17" s="2"/>
      <c r="H17" s="2"/>
      <c r="I17" s="47"/>
      <c r="J17" s="281"/>
      <c r="K17" s="280"/>
      <c r="L17" s="242"/>
      <c r="M17" s="345"/>
      <c r="N17" s="689" t="s">
        <v>70</v>
      </c>
      <c r="O17" s="689"/>
      <c r="P17" s="689" t="s">
        <v>16</v>
      </c>
      <c r="Q17" s="699"/>
      <c r="R17" s="25"/>
      <c r="S17" s="159"/>
      <c r="T17" s="689" t="s">
        <v>66</v>
      </c>
      <c r="U17" s="689"/>
      <c r="V17" s="689" t="s">
        <v>16</v>
      </c>
      <c r="W17" s="699"/>
    </row>
    <row r="18" spans="1:24" s="29" customFormat="1" ht="15" customHeight="1" x14ac:dyDescent="0.25">
      <c r="A18" s="24"/>
      <c r="B18" s="713" t="s">
        <v>6</v>
      </c>
      <c r="C18" s="713"/>
      <c r="D18" s="713" t="s">
        <v>16</v>
      </c>
      <c r="E18" s="714"/>
      <c r="F18" s="25"/>
      <c r="G18" s="26"/>
      <c r="H18" s="715" t="s">
        <v>6</v>
      </c>
      <c r="I18" s="715"/>
      <c r="J18" s="715" t="s">
        <v>16</v>
      </c>
      <c r="K18" s="716"/>
      <c r="L18" s="243"/>
      <c r="M18" s="346">
        <f>G24+H7+L5+"00:02"</f>
        <v>0.54166666666666685</v>
      </c>
      <c r="N18" s="152" t="str">
        <f>IF($D$15="","3eme A",B30)</f>
        <v>3eme A</v>
      </c>
      <c r="O18" s="152" t="str">
        <f>IF($D$15="","4eme B",H31)</f>
        <v>4eme B</v>
      </c>
      <c r="P18" s="153"/>
      <c r="Q18" s="154"/>
      <c r="R18" s="2"/>
      <c r="S18" s="151">
        <f>M19+$T$16+"00:02"</f>
        <v>0.56250000000000011</v>
      </c>
      <c r="T18" s="152" t="str">
        <f>IF($D$15="","1er A",B28)</f>
        <v>1er A</v>
      </c>
      <c r="U18" s="152" t="str">
        <f>IF($D$15="","2eme B",H29)</f>
        <v>2eme B</v>
      </c>
      <c r="V18" s="153"/>
      <c r="W18" s="154"/>
      <c r="X18" s="181"/>
    </row>
    <row r="19" spans="1:24" ht="15" customHeight="1" thickBot="1" x14ac:dyDescent="0.3">
      <c r="A19" s="30">
        <f>G16+$H$7+"00:02"</f>
        <v>0.43750000000000006</v>
      </c>
      <c r="B19" s="31" t="str">
        <f>B9</f>
        <v>Equipe 1</v>
      </c>
      <c r="C19" s="31" t="str">
        <f>B11</f>
        <v>Equipe 3</v>
      </c>
      <c r="D19" s="53"/>
      <c r="E19" s="54"/>
      <c r="F19" s="2"/>
      <c r="G19" s="32">
        <f>A20+$H$7+"00:02"</f>
        <v>0.45833333333333343</v>
      </c>
      <c r="H19" s="33" t="str">
        <f>H9</f>
        <v>Equipe 5</v>
      </c>
      <c r="I19" s="33" t="str">
        <f>H11</f>
        <v>Equipe 7</v>
      </c>
      <c r="J19" s="57"/>
      <c r="K19" s="58"/>
      <c r="L19" s="242"/>
      <c r="M19" s="347">
        <f>M18+$T$16+"00:02"</f>
        <v>0.55208333333333348</v>
      </c>
      <c r="N19" s="156" t="str">
        <f>IF($D$15="","3eme B",H30)</f>
        <v>3eme B</v>
      </c>
      <c r="O19" s="156" t="str">
        <f>IF($D$15="","4eme A",B31)</f>
        <v>4eme A</v>
      </c>
      <c r="P19" s="157"/>
      <c r="Q19" s="158"/>
      <c r="R19" s="2"/>
      <c r="S19" s="155">
        <f>S18+$T$16+"00:02"</f>
        <v>0.57291666666666674</v>
      </c>
      <c r="T19" s="156" t="str">
        <f>IF($D$15="","1er B",H28)</f>
        <v>1er B</v>
      </c>
      <c r="U19" s="156" t="str">
        <f>IF($D$15="","2eme A",B29)</f>
        <v>2eme A</v>
      </c>
      <c r="V19" s="157"/>
      <c r="W19" s="158"/>
      <c r="X19" s="95"/>
    </row>
    <row r="20" spans="1:24" ht="15" customHeight="1" thickBot="1" x14ac:dyDescent="0.3">
      <c r="A20" s="38">
        <f>A19+$H$7+"00:02"</f>
        <v>0.44791666666666674</v>
      </c>
      <c r="B20" s="39" t="str">
        <f>B10</f>
        <v>Equipe 2</v>
      </c>
      <c r="C20" s="39" t="str">
        <f>B12</f>
        <v>Equipe 4</v>
      </c>
      <c r="D20" s="55"/>
      <c r="E20" s="56"/>
      <c r="F20" s="2"/>
      <c r="G20" s="40">
        <f>G19+$H$7+"00:02"</f>
        <v>0.46875000000000011</v>
      </c>
      <c r="H20" s="41" t="str">
        <f>H10</f>
        <v>Equipe 6</v>
      </c>
      <c r="I20" s="41" t="str">
        <f>H12</f>
        <v>Equipe 8</v>
      </c>
      <c r="J20" s="59"/>
      <c r="K20" s="60"/>
      <c r="L20" s="242"/>
      <c r="M20" s="2"/>
      <c r="N20" s="2"/>
      <c r="O20" s="2"/>
      <c r="P20" s="281"/>
      <c r="Q20" s="281"/>
      <c r="R20" s="2"/>
      <c r="S20" s="2"/>
      <c r="T20" s="2"/>
      <c r="U20" s="2"/>
      <c r="V20" s="281"/>
      <c r="W20" s="280"/>
      <c r="X20" s="95"/>
    </row>
    <row r="21" spans="1:24" ht="15" customHeight="1" thickBot="1" x14ac:dyDescent="0.3">
      <c r="A21" s="19"/>
      <c r="B21" s="2"/>
      <c r="C21" s="2"/>
      <c r="D21" s="281"/>
      <c r="E21" s="281"/>
      <c r="F21" s="2"/>
      <c r="G21" s="2"/>
      <c r="H21" s="2"/>
      <c r="I21" s="47"/>
      <c r="J21" s="281"/>
      <c r="K21" s="280"/>
      <c r="L21" s="242"/>
      <c r="M21" s="345"/>
      <c r="N21" s="689" t="s">
        <v>71</v>
      </c>
      <c r="O21" s="689"/>
      <c r="P21" s="689" t="s">
        <v>16</v>
      </c>
      <c r="Q21" s="699"/>
      <c r="R21" s="25"/>
      <c r="S21" s="159"/>
      <c r="T21" s="689" t="s">
        <v>73</v>
      </c>
      <c r="U21" s="689"/>
      <c r="V21" s="689" t="s">
        <v>16</v>
      </c>
      <c r="W21" s="699"/>
      <c r="X21" s="95"/>
    </row>
    <row r="22" spans="1:24" s="29" customFormat="1" ht="15" customHeight="1" x14ac:dyDescent="0.25">
      <c r="A22" s="24"/>
      <c r="B22" s="713" t="s">
        <v>7</v>
      </c>
      <c r="C22" s="713"/>
      <c r="D22" s="713" t="s">
        <v>16</v>
      </c>
      <c r="E22" s="714"/>
      <c r="F22" s="25"/>
      <c r="G22" s="26"/>
      <c r="H22" s="715" t="s">
        <v>7</v>
      </c>
      <c r="I22" s="715"/>
      <c r="J22" s="715" t="s">
        <v>16</v>
      </c>
      <c r="K22" s="716"/>
      <c r="L22" s="243"/>
      <c r="M22" s="346">
        <f>S19+T16+"00:02"</f>
        <v>0.58333333333333337</v>
      </c>
      <c r="N22" s="152" t="str">
        <f>IF(P18&lt;Q18,N18,IF(P18=Q18," ",O18))</f>
        <v xml:space="preserve"> </v>
      </c>
      <c r="O22" s="152" t="str">
        <f>IF(P19&lt;Q19,N19,IF(P19=Q19," ",O19))</f>
        <v xml:space="preserve"> </v>
      </c>
      <c r="P22" s="153"/>
      <c r="Q22" s="154"/>
      <c r="R22" s="2"/>
      <c r="S22" s="151">
        <f>M22+$T$16+"00:02"</f>
        <v>0.59375</v>
      </c>
      <c r="T22" s="152" t="str">
        <f>IF(P18&gt;Q18,N18,IF(P18=Q18," ",O18))</f>
        <v xml:space="preserve"> </v>
      </c>
      <c r="U22" s="152" t="str">
        <f>IF(P19&gt;Q19,N19,IF(P19=Q19," ",O19))</f>
        <v xml:space="preserve"> </v>
      </c>
      <c r="V22" s="153"/>
      <c r="W22" s="154"/>
      <c r="X22" s="95"/>
    </row>
    <row r="23" spans="1:24" ht="15" customHeight="1" thickBot="1" x14ac:dyDescent="0.3">
      <c r="A23" s="30">
        <f>G20+$H$7+"00:02"</f>
        <v>0.4791666666666668</v>
      </c>
      <c r="B23" s="31" t="str">
        <f>B9</f>
        <v>Equipe 1</v>
      </c>
      <c r="C23" s="31" t="str">
        <f>B12</f>
        <v>Equipe 4</v>
      </c>
      <c r="D23" s="53"/>
      <c r="E23" s="54"/>
      <c r="F23" s="2"/>
      <c r="G23" s="32">
        <f>A24+$H$7+"00:02"</f>
        <v>0.50000000000000022</v>
      </c>
      <c r="H23" s="33" t="str">
        <f>H9</f>
        <v>Equipe 5</v>
      </c>
      <c r="I23" s="33" t="str">
        <f>H12</f>
        <v>Equipe 8</v>
      </c>
      <c r="J23" s="57"/>
      <c r="K23" s="58"/>
      <c r="L23" s="242"/>
      <c r="M23" s="2"/>
      <c r="N23" s="2"/>
      <c r="O23" s="2"/>
      <c r="P23" s="281"/>
      <c r="Q23" s="281"/>
      <c r="R23" s="2"/>
      <c r="S23" s="2"/>
      <c r="T23" s="2"/>
      <c r="U23" s="2"/>
      <c r="V23" s="281"/>
      <c r="W23" s="280"/>
      <c r="X23" s="192"/>
    </row>
    <row r="24" spans="1:24" ht="15" customHeight="1" thickBot="1" x14ac:dyDescent="0.3">
      <c r="A24" s="38">
        <f>A23+$H$7+"00:02"</f>
        <v>0.48958333333333348</v>
      </c>
      <c r="B24" s="39" t="str">
        <f>B10</f>
        <v>Equipe 2</v>
      </c>
      <c r="C24" s="39" t="str">
        <f>B11</f>
        <v>Equipe 3</v>
      </c>
      <c r="D24" s="55"/>
      <c r="E24" s="56"/>
      <c r="F24" s="47"/>
      <c r="G24" s="40">
        <f>G23+$H$7+"00:02"</f>
        <v>0.51041666666666685</v>
      </c>
      <c r="H24" s="41" t="str">
        <f>H10</f>
        <v>Equipe 6</v>
      </c>
      <c r="I24" s="41" t="str">
        <f>H11</f>
        <v>Equipe 7</v>
      </c>
      <c r="J24" s="59"/>
      <c r="K24" s="60"/>
      <c r="L24" s="242"/>
      <c r="M24" s="345"/>
      <c r="N24" s="677" t="s">
        <v>67</v>
      </c>
      <c r="O24" s="679"/>
      <c r="P24" s="677" t="s">
        <v>16</v>
      </c>
      <c r="Q24" s="678"/>
      <c r="R24" s="25"/>
      <c r="S24" s="159"/>
      <c r="T24" s="677" t="s">
        <v>72</v>
      </c>
      <c r="U24" s="679"/>
      <c r="V24" s="677" t="s">
        <v>16</v>
      </c>
      <c r="W24" s="678"/>
    </row>
    <row r="25" spans="1:24" ht="15" customHeight="1" thickBot="1" x14ac:dyDescent="0.3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87"/>
      <c r="L25" s="242"/>
      <c r="M25" s="347">
        <f>S22+$T$16+"00:02"</f>
        <v>0.60416666666666663</v>
      </c>
      <c r="N25" s="156" t="str">
        <f>IF(V18&lt;W18,T18,IF(V18=W18," ",U18))</f>
        <v xml:space="preserve"> </v>
      </c>
      <c r="O25" s="156" t="str">
        <f>IF(V19&lt;W19,T19,IF(V19=W19," ",U19))</f>
        <v xml:space="preserve"> </v>
      </c>
      <c r="P25" s="157"/>
      <c r="Q25" s="158"/>
      <c r="R25" s="47"/>
      <c r="S25" s="155">
        <f>M25+$T$16+"00:02"</f>
        <v>0.61458333333333326</v>
      </c>
      <c r="T25" s="156" t="str">
        <f>IF(V18&gt;W18,T18,IF(V18=W18," ",U18))</f>
        <v xml:space="preserve"> </v>
      </c>
      <c r="U25" s="156" t="str">
        <f>IF(V19&gt;W19,T19,IF(V19=W19," ",U19))</f>
        <v xml:space="preserve"> </v>
      </c>
      <c r="V25" s="157"/>
      <c r="W25" s="158"/>
    </row>
    <row r="26" spans="1:24" ht="15" customHeight="1" thickBot="1" x14ac:dyDescent="0.3">
      <c r="A26" s="702" t="s">
        <v>60</v>
      </c>
      <c r="B26" s="673"/>
      <c r="C26" s="673"/>
      <c r="D26" s="673"/>
      <c r="E26" s="673"/>
      <c r="F26" s="673"/>
      <c r="G26" s="673"/>
      <c r="H26" s="673"/>
      <c r="I26" s="673"/>
      <c r="J26" s="673"/>
      <c r="K26" s="674"/>
      <c r="L26" s="352"/>
      <c r="M26" s="2"/>
      <c r="N26" s="2"/>
      <c r="O26" s="2"/>
      <c r="P26" s="2"/>
      <c r="Q26" s="2"/>
      <c r="R26" s="2"/>
      <c r="S26" s="2"/>
      <c r="T26" s="2"/>
      <c r="U26" s="2"/>
      <c r="V26" s="2"/>
      <c r="W26" s="21"/>
    </row>
    <row r="27" spans="1:24" ht="15" customHeight="1" thickBot="1" x14ac:dyDescent="0.3">
      <c r="A27" s="81" t="s">
        <v>21</v>
      </c>
      <c r="B27" s="711" t="s">
        <v>41</v>
      </c>
      <c r="C27" s="711"/>
      <c r="D27" s="711" t="s">
        <v>15</v>
      </c>
      <c r="E27" s="712"/>
      <c r="F27" s="122"/>
      <c r="G27" s="81" t="s">
        <v>21</v>
      </c>
      <c r="H27" s="711" t="s">
        <v>42</v>
      </c>
      <c r="I27" s="711"/>
      <c r="J27" s="711" t="s">
        <v>15</v>
      </c>
      <c r="K27" s="712"/>
      <c r="L27" s="242"/>
      <c r="M27" s="673" t="s">
        <v>47</v>
      </c>
      <c r="N27" s="673"/>
      <c r="O27" s="673"/>
      <c r="P27" s="673"/>
      <c r="Q27" s="673"/>
      <c r="R27" s="673"/>
      <c r="S27" s="673"/>
      <c r="T27" s="673"/>
      <c r="U27" s="673"/>
      <c r="V27" s="673"/>
      <c r="W27" s="674"/>
    </row>
    <row r="28" spans="1:24" ht="15" customHeight="1" x14ac:dyDescent="0.25">
      <c r="A28" s="49">
        <v>1</v>
      </c>
      <c r="B28" s="680" t="str">
        <f>VLOOKUP($A28,$A$37:$D$40,2,FALSE)</f>
        <v>Equipe 1</v>
      </c>
      <c r="C28" s="680"/>
      <c r="D28" s="683">
        <f>VLOOKUP($A28,$A$37:$D$40,4,FALSE)</f>
        <v>3.9999999999999998E-7</v>
      </c>
      <c r="E28" s="684"/>
      <c r="F28" s="105"/>
      <c r="G28" s="49">
        <v>1</v>
      </c>
      <c r="H28" s="680" t="str">
        <f>VLOOKUP($G28,$G$37:$J$40,2,FALSE)</f>
        <v>Equipe 5</v>
      </c>
      <c r="I28" s="680"/>
      <c r="J28" s="681">
        <f>VLOOKUP($G28,$G$37:$J$40,4,FALSE)</f>
        <v>3.9999999999999998E-7</v>
      </c>
      <c r="K28" s="682"/>
      <c r="L28" s="242"/>
      <c r="M28" s="348">
        <v>1</v>
      </c>
      <c r="N28" s="272" t="str">
        <f>IF(V25&gt;W25,T25,IF(V25=W25," ",U25))</f>
        <v xml:space="preserve"> </v>
      </c>
      <c r="O28" s="273"/>
      <c r="P28" s="273"/>
      <c r="Q28" s="274"/>
      <c r="R28" s="122"/>
      <c r="S28" s="160">
        <v>5</v>
      </c>
      <c r="T28" s="272" t="str">
        <f>IF(V22&gt;W22,T22,IF(V22=W22," ",U22))</f>
        <v xml:space="preserve"> </v>
      </c>
      <c r="U28" s="273"/>
      <c r="V28" s="273"/>
      <c r="W28" s="274"/>
    </row>
    <row r="29" spans="1:24" ht="15" customHeight="1" x14ac:dyDescent="0.25">
      <c r="A29" s="49">
        <v>2</v>
      </c>
      <c r="B29" s="680" t="str">
        <f>VLOOKUP($A29,$A$37:$D$40,2,FALSE)</f>
        <v>Equipe 2</v>
      </c>
      <c r="C29" s="680"/>
      <c r="D29" s="683">
        <f>VLOOKUP($A29,$A$37:$D$40,4,FALSE)</f>
        <v>2.9999999999999999E-7</v>
      </c>
      <c r="E29" s="684"/>
      <c r="F29" s="105"/>
      <c r="G29" s="49">
        <v>2</v>
      </c>
      <c r="H29" s="680" t="str">
        <f>VLOOKUP($G29,$G$37:$J$40,2,FALSE)</f>
        <v>Equipe 6</v>
      </c>
      <c r="I29" s="680"/>
      <c r="J29" s="681">
        <f>VLOOKUP($G29,$G$37:$J$40,4,FALSE)</f>
        <v>2.9999999999999999E-7</v>
      </c>
      <c r="K29" s="682"/>
      <c r="L29" s="242"/>
      <c r="M29" s="349">
        <v>2</v>
      </c>
      <c r="N29" s="266" t="str">
        <f>IF(V25&lt;W25,T25,IF(V25=W25," ",U25))</f>
        <v xml:space="preserve"> </v>
      </c>
      <c r="O29" s="267"/>
      <c r="P29" s="267"/>
      <c r="Q29" s="268"/>
      <c r="R29" s="105"/>
      <c r="S29" s="49">
        <v>6</v>
      </c>
      <c r="T29" s="266" t="str">
        <f>IF(V22&lt;W22,T22,IF(V22=W22," ",U22))</f>
        <v xml:space="preserve"> </v>
      </c>
      <c r="U29" s="267"/>
      <c r="V29" s="267"/>
      <c r="W29" s="268"/>
    </row>
    <row r="30" spans="1:24" ht="15" customHeight="1" x14ac:dyDescent="0.25">
      <c r="A30" s="49">
        <v>3</v>
      </c>
      <c r="B30" s="680" t="str">
        <f>VLOOKUP($A30,$A$37:$D$40,2,FALSE)</f>
        <v>Equipe 3</v>
      </c>
      <c r="C30" s="680"/>
      <c r="D30" s="683">
        <f>VLOOKUP($A30,$A$37:$D$40,4,FALSE)</f>
        <v>1.9999999999999999E-7</v>
      </c>
      <c r="E30" s="684"/>
      <c r="F30" s="105"/>
      <c r="G30" s="49">
        <v>3</v>
      </c>
      <c r="H30" s="680" t="str">
        <f>VLOOKUP($G30,$G$37:$J$40,2,FALSE)</f>
        <v>Equipe 7</v>
      </c>
      <c r="I30" s="680"/>
      <c r="J30" s="681">
        <f>VLOOKUP($G30,$G$37:$J$40,4,FALSE)</f>
        <v>1.9999999999999999E-7</v>
      </c>
      <c r="K30" s="682"/>
      <c r="L30" s="242"/>
      <c r="M30" s="349">
        <v>3</v>
      </c>
      <c r="N30" s="266" t="str">
        <f>IF(P25&gt;Q25,N25,IF(P25=Q25," ",O25))</f>
        <v xml:space="preserve"> </v>
      </c>
      <c r="O30" s="267"/>
      <c r="P30" s="267"/>
      <c r="Q30" s="268"/>
      <c r="R30" s="105"/>
      <c r="S30" s="49">
        <v>7</v>
      </c>
      <c r="T30" s="266" t="str">
        <f>IF(P22&gt;Q22,N22,IF(P22=Q22," ",O22))</f>
        <v xml:space="preserve"> </v>
      </c>
      <c r="U30" s="267"/>
      <c r="V30" s="267"/>
      <c r="W30" s="268"/>
    </row>
    <row r="31" spans="1:24" ht="15" customHeight="1" thickBot="1" x14ac:dyDescent="0.3">
      <c r="A31" s="50">
        <v>4</v>
      </c>
      <c r="B31" s="706" t="str">
        <f>VLOOKUP($A31,$A$37:$D$40,2,FALSE)</f>
        <v>Equipe 4</v>
      </c>
      <c r="C31" s="706"/>
      <c r="D31" s="707">
        <f>VLOOKUP($A31,$A$37:$D$40,4,FALSE)</f>
        <v>9.9999999999999995E-8</v>
      </c>
      <c r="E31" s="708"/>
      <c r="F31" s="123"/>
      <c r="G31" s="50">
        <v>4</v>
      </c>
      <c r="H31" s="706" t="str">
        <f>VLOOKUP($G31,$G$37:$J$40,2,FALSE)</f>
        <v>Equipe 8</v>
      </c>
      <c r="I31" s="706"/>
      <c r="J31" s="709">
        <f>VLOOKUP($G31,$G$37:$J$40,4,FALSE)</f>
        <v>9.9999999999999995E-8</v>
      </c>
      <c r="K31" s="710"/>
      <c r="L31" s="242"/>
      <c r="M31" s="350">
        <v>4</v>
      </c>
      <c r="N31" s="269" t="str">
        <f>IF(P25&lt;Q25,N25,IF(P25=Q25," ",O25))</f>
        <v xml:space="preserve"> </v>
      </c>
      <c r="O31" s="270"/>
      <c r="P31" s="270"/>
      <c r="Q31" s="271"/>
      <c r="R31" s="193"/>
      <c r="S31" s="50">
        <v>8</v>
      </c>
      <c r="T31" s="269" t="str">
        <f>IF(P22&lt;Q22,N22,IF(P22=Q22," ",O22))</f>
        <v xml:space="preserve"> </v>
      </c>
      <c r="U31" s="270"/>
      <c r="V31" s="270"/>
      <c r="W31" s="271"/>
    </row>
    <row r="32" spans="1:24" ht="15" customHeight="1" thickBot="1" x14ac:dyDescent="0.3">
      <c r="A32" s="703" t="s">
        <v>34</v>
      </c>
      <c r="B32" s="704"/>
      <c r="C32" s="704"/>
      <c r="D32" s="704"/>
      <c r="E32" s="704"/>
      <c r="F32" s="704"/>
      <c r="G32" s="704"/>
      <c r="H32" s="704"/>
      <c r="I32" s="704"/>
      <c r="J32" s="704"/>
      <c r="K32" s="705"/>
      <c r="L32" s="353"/>
      <c r="M32" s="675" t="s">
        <v>34</v>
      </c>
      <c r="N32" s="675"/>
      <c r="O32" s="675"/>
      <c r="P32" s="675"/>
      <c r="Q32" s="675"/>
      <c r="R32" s="675"/>
      <c r="S32" s="675"/>
      <c r="T32" s="675"/>
      <c r="U32" s="675"/>
      <c r="V32" s="675"/>
      <c r="W32" s="676"/>
      <c r="X32" s="2"/>
    </row>
    <row r="33" spans="1:23" s="2" customFormat="1" x14ac:dyDescent="0.25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8"/>
      <c r="M33" s="198"/>
      <c r="N33" s="198"/>
      <c r="O33" s="198"/>
      <c r="P33" s="198"/>
      <c r="Q33" s="198"/>
      <c r="R33" s="198"/>
      <c r="S33" s="198"/>
      <c r="T33" s="198"/>
      <c r="U33" s="733" t="s">
        <v>110</v>
      </c>
      <c r="V33" s="733"/>
      <c r="W33" s="733"/>
    </row>
    <row r="34" spans="1:23" s="2" customFormat="1" ht="15.75" hidden="1" thickBot="1" x14ac:dyDescent="0.3"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1:23" ht="16.5" hidden="1" thickBot="1" x14ac:dyDescent="0.3">
      <c r="A35" s="670" t="s">
        <v>49</v>
      </c>
      <c r="B35" s="671"/>
      <c r="C35" s="671"/>
      <c r="D35" s="671"/>
      <c r="E35" s="671"/>
      <c r="F35" s="671"/>
      <c r="G35" s="671"/>
      <c r="H35" s="671"/>
      <c r="I35" s="671"/>
      <c r="J35" s="671"/>
      <c r="K35" s="672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</row>
    <row r="36" spans="1:23" ht="14.45" hidden="1" customHeight="1" x14ac:dyDescent="0.25">
      <c r="A36" s="96"/>
      <c r="B36" s="177" t="s">
        <v>1</v>
      </c>
      <c r="C36" s="177"/>
      <c r="D36" s="177" t="s">
        <v>15</v>
      </c>
      <c r="E36" s="194"/>
      <c r="F36" s="195"/>
      <c r="G36" s="121"/>
      <c r="H36" s="177" t="s">
        <v>2</v>
      </c>
      <c r="I36" s="177"/>
      <c r="J36" s="177" t="s">
        <v>15</v>
      </c>
      <c r="K36" s="178"/>
      <c r="L36" s="85"/>
      <c r="M36" s="99"/>
      <c r="N36" s="179"/>
      <c r="O36" s="179"/>
      <c r="P36" s="179"/>
      <c r="Q36" s="179"/>
      <c r="R36" s="85"/>
      <c r="S36" s="99"/>
      <c r="T36" s="179"/>
      <c r="U36" s="179"/>
      <c r="V36" s="179"/>
      <c r="W36" s="179"/>
    </row>
    <row r="37" spans="1:23" ht="14.45" hidden="1" customHeight="1" x14ac:dyDescent="0.25">
      <c r="A37" s="86">
        <f>RANK(D37,$D$37:$D$40)</f>
        <v>1</v>
      </c>
      <c r="B37" s="69" t="str">
        <f>B9</f>
        <v>Equipe 1</v>
      </c>
      <c r="C37" s="69">
        <f>D15-E15+D19-E19+D23-E23</f>
        <v>0</v>
      </c>
      <c r="D37" s="182">
        <f>D9+4/10000000</f>
        <v>3.9999999999999998E-7</v>
      </c>
      <c r="E37" s="175"/>
      <c r="F37" s="196"/>
      <c r="G37" s="91">
        <f>RANK(J37,$J$37:$J$40)</f>
        <v>1</v>
      </c>
      <c r="H37" s="69" t="str">
        <f>H9</f>
        <v>Equipe 5</v>
      </c>
      <c r="I37" s="69">
        <f>J15-K15+J19-K19+J23-K23</f>
        <v>0</v>
      </c>
      <c r="J37" s="182">
        <f>J9+4/10000000</f>
        <v>3.9999999999999998E-7</v>
      </c>
      <c r="K37" s="184"/>
      <c r="L37" s="85"/>
      <c r="M37" s="94"/>
      <c r="N37" s="95"/>
      <c r="O37" s="95"/>
      <c r="P37" s="180"/>
      <c r="Q37" s="180"/>
      <c r="R37" s="85"/>
      <c r="S37" s="94"/>
      <c r="T37" s="95"/>
      <c r="U37" s="95"/>
      <c r="V37" s="180"/>
      <c r="W37" s="180"/>
    </row>
    <row r="38" spans="1:23" ht="14.45" hidden="1" customHeight="1" x14ac:dyDescent="0.25">
      <c r="A38" s="86">
        <f t="shared" ref="A38:A40" si="0">RANK(D38,$D$37:$D$40)</f>
        <v>2</v>
      </c>
      <c r="B38" s="69" t="str">
        <f>B10</f>
        <v>Equipe 2</v>
      </c>
      <c r="C38" s="69">
        <f>E15-D15+D20-E20+D24-E24</f>
        <v>0</v>
      </c>
      <c r="D38" s="182">
        <f>D10+3/10000000</f>
        <v>2.9999999999999999E-7</v>
      </c>
      <c r="E38" s="175"/>
      <c r="F38" s="196"/>
      <c r="G38" s="91">
        <f t="shared" ref="G38:G40" si="1">RANK(J38,$J$37:$J$40)</f>
        <v>2</v>
      </c>
      <c r="H38" s="69" t="str">
        <f>H10</f>
        <v>Equipe 6</v>
      </c>
      <c r="I38" s="69">
        <f>K15-J15+J20-K20+J24-K24</f>
        <v>0</v>
      </c>
      <c r="J38" s="182">
        <f>J10+3/10000000</f>
        <v>2.9999999999999999E-7</v>
      </c>
      <c r="K38" s="184"/>
      <c r="L38" s="85"/>
      <c r="M38" s="94"/>
      <c r="N38" s="95"/>
      <c r="O38" s="95"/>
      <c r="P38" s="180"/>
      <c r="Q38" s="180"/>
      <c r="R38" s="85"/>
      <c r="S38" s="94"/>
      <c r="T38" s="95"/>
      <c r="U38" s="95"/>
      <c r="V38" s="180"/>
      <c r="W38" s="180"/>
    </row>
    <row r="39" spans="1:23" ht="14.45" hidden="1" customHeight="1" x14ac:dyDescent="0.25">
      <c r="A39" s="86">
        <f t="shared" si="0"/>
        <v>3</v>
      </c>
      <c r="B39" s="69" t="str">
        <f>B11</f>
        <v>Equipe 3</v>
      </c>
      <c r="C39" s="69">
        <f>D16-E16+E19-D19+E24-D24</f>
        <v>0</v>
      </c>
      <c r="D39" s="182">
        <f>D11+2/10000000</f>
        <v>1.9999999999999999E-7</v>
      </c>
      <c r="E39" s="175"/>
      <c r="F39" s="196"/>
      <c r="G39" s="91">
        <f t="shared" si="1"/>
        <v>3</v>
      </c>
      <c r="H39" s="69" t="str">
        <f>H11</f>
        <v>Equipe 7</v>
      </c>
      <c r="I39" s="69">
        <f>J16-K16+K19-J19+K24-J24</f>
        <v>0</v>
      </c>
      <c r="J39" s="182">
        <f>J11+2/10000000</f>
        <v>1.9999999999999999E-7</v>
      </c>
      <c r="K39" s="184"/>
      <c r="L39" s="85"/>
      <c r="M39" s="94"/>
      <c r="N39" s="95"/>
      <c r="O39" s="95"/>
      <c r="P39" s="180"/>
      <c r="Q39" s="180"/>
      <c r="R39" s="85"/>
      <c r="S39" s="94"/>
      <c r="T39" s="95"/>
      <c r="U39" s="95"/>
      <c r="V39" s="180"/>
      <c r="W39" s="180"/>
    </row>
    <row r="40" spans="1:23" ht="14.45" hidden="1" customHeight="1" thickBot="1" x14ac:dyDescent="0.3">
      <c r="A40" s="87">
        <f t="shared" si="0"/>
        <v>4</v>
      </c>
      <c r="B40" s="88" t="str">
        <f>B12</f>
        <v>Equipe 4</v>
      </c>
      <c r="C40" s="88">
        <f>E16-D16+E20-D20+E23-D23</f>
        <v>0</v>
      </c>
      <c r="D40" s="185">
        <f>D12+1/10000000</f>
        <v>9.9999999999999995E-8</v>
      </c>
      <c r="E40" s="176"/>
      <c r="F40" s="197"/>
      <c r="G40" s="92">
        <f t="shared" si="1"/>
        <v>4</v>
      </c>
      <c r="H40" s="88" t="str">
        <f>H12</f>
        <v>Equipe 8</v>
      </c>
      <c r="I40" s="88">
        <f>K16-J16+K20-J20+K23-J23</f>
        <v>0</v>
      </c>
      <c r="J40" s="185">
        <f>J12+1/10000000</f>
        <v>9.9999999999999995E-8</v>
      </c>
      <c r="K40" s="186"/>
      <c r="L40" s="85"/>
      <c r="M40" s="94"/>
      <c r="N40" s="95"/>
      <c r="O40" s="95"/>
      <c r="P40" s="180"/>
      <c r="Q40" s="180"/>
      <c r="R40" s="85"/>
      <c r="S40" s="94"/>
      <c r="T40" s="95"/>
      <c r="U40" s="95"/>
      <c r="V40" s="180"/>
      <c r="W40" s="180"/>
    </row>
    <row r="41" spans="1:23" hidden="1" x14ac:dyDescent="0.25">
      <c r="A41" s="700"/>
      <c r="B41" s="700"/>
      <c r="C41" s="700"/>
      <c r="D41" s="700"/>
      <c r="E41" s="700"/>
      <c r="F41" s="700"/>
      <c r="G41" s="700"/>
      <c r="H41" s="700"/>
      <c r="I41" s="700"/>
      <c r="J41" s="700"/>
      <c r="K41" s="700"/>
      <c r="L41" s="700"/>
      <c r="M41" s="700"/>
      <c r="N41" s="700"/>
      <c r="O41" s="700"/>
      <c r="P41" s="700"/>
      <c r="Q41" s="700"/>
    </row>
    <row r="42" spans="1:23" hidden="1" x14ac:dyDescent="0.25">
      <c r="A42" s="1">
        <f>IF(D15="",0,(IF(D15&gt;E15,3,IF(D15=E15,1,0))))</f>
        <v>0</v>
      </c>
      <c r="B42" s="1">
        <f>IF(E15="",0,(IF(E15&gt;D15,3,IF(E15=D15,1,0))))</f>
        <v>0</v>
      </c>
      <c r="G42" s="1">
        <f>IF(J15="",0,(IF(J15&gt;K15,3,IF(J15=K15,1,0))))</f>
        <v>0</v>
      </c>
      <c r="H42" s="1">
        <f>IF(K15="",0,(IF(K15&gt;J15,3,IF(K15=J15,1,0))))</f>
        <v>0</v>
      </c>
    </row>
    <row r="43" spans="1:23" hidden="1" x14ac:dyDescent="0.25">
      <c r="A43" s="1">
        <f>IF(D16="",0,(IF(D16&gt;E16,3,IF(D16=E16,1,0))))</f>
        <v>0</v>
      </c>
      <c r="B43" s="1">
        <f>IF(E16="",0,(IF(E16&gt;D16,3,IF(E16=D16,1,0))))</f>
        <v>0</v>
      </c>
      <c r="G43" s="1">
        <f>IF(J16="",0,(IF(J16&gt;K16,3,IF(J16=K16,1,0))))</f>
        <v>0</v>
      </c>
      <c r="H43" s="1">
        <f>IF(K16="",0,(IF(K16&gt;J16,3,IF(K16=J16,1,0))))</f>
        <v>0</v>
      </c>
    </row>
    <row r="44" spans="1:23" hidden="1" x14ac:dyDescent="0.25"/>
    <row r="45" spans="1:23" hidden="1" x14ac:dyDescent="0.25"/>
    <row r="46" spans="1:23" hidden="1" x14ac:dyDescent="0.25">
      <c r="A46" s="1">
        <f>IF(D19="",0,(IF(D19&gt;E19,3,IF(D19=E19,1,0))))</f>
        <v>0</v>
      </c>
      <c r="B46" s="1">
        <f>IF(E19="",0,(IF(E19&gt;D19,3,IF(E19=D19,1,0))))</f>
        <v>0</v>
      </c>
      <c r="G46" s="1">
        <f>IF(J19="",0,(IF(J19&gt;K19,3,IF(J19=K19,1,0))))</f>
        <v>0</v>
      </c>
      <c r="H46" s="1">
        <f>IF(K19="",0,(IF(K19&gt;J19,3,IF(K19=J19,1,0))))</f>
        <v>0</v>
      </c>
    </row>
    <row r="47" spans="1:23" hidden="1" x14ac:dyDescent="0.25">
      <c r="A47" s="1">
        <f>IF(D20="",0,(IF(D20&gt;E20,3,IF(D20=E20,1,0))))</f>
        <v>0</v>
      </c>
      <c r="B47" s="1">
        <f>IF(E20="",0,(IF(E20&gt;D20,3,IF(E20=D20,1,0))))</f>
        <v>0</v>
      </c>
      <c r="G47" s="1">
        <f>IF(J20="",0,(IF(J20&gt;K20,3,IF(J20=K20,1,0))))</f>
        <v>0</v>
      </c>
      <c r="H47" s="1">
        <f>IF(K20="",0,(IF(K20&gt;J20,3,IF(K20=J20,1,0))))</f>
        <v>0</v>
      </c>
    </row>
    <row r="48" spans="1:23" hidden="1" x14ac:dyDescent="0.25"/>
    <row r="49" spans="1:8" hidden="1" x14ac:dyDescent="0.25"/>
    <row r="50" spans="1:8" hidden="1" x14ac:dyDescent="0.25">
      <c r="A50" s="1">
        <f>IF(D23="",0,(IF(D23&gt;E23,3,IF(D23=E23,1,0))))</f>
        <v>0</v>
      </c>
      <c r="B50" s="1">
        <f>IF(E23="",0,(IF(E23&gt;D23,3,IF(E23=D23,1,0))))</f>
        <v>0</v>
      </c>
      <c r="G50" s="1">
        <f>IF(J23="",0,(IF(J23&gt;K23,3,IF(J23=K23,1,0))))</f>
        <v>0</v>
      </c>
      <c r="H50" s="1">
        <f>IF(K23="",0,(IF(K23&gt;J23,3,IF(K23=J23,1,0))))</f>
        <v>0</v>
      </c>
    </row>
    <row r="51" spans="1:8" hidden="1" x14ac:dyDescent="0.25">
      <c r="A51" s="1">
        <f>IF(D24="",0,(IF(D24&gt;E24,3,IF(D24=E24,1,0))))</f>
        <v>0</v>
      </c>
      <c r="B51" s="1">
        <f>IF(E24="",0,(IF(E24&gt;D24,3,IF(E24=D24,1,0))))</f>
        <v>0</v>
      </c>
      <c r="G51" s="1">
        <f>IF(J24="",0,(IF(J24&gt;K24,3,IF(J24=K24,1,0))))</f>
        <v>0</v>
      </c>
      <c r="H51" s="1">
        <f>IF(K24="",0,(IF(K24&gt;J24,3,IF(K24=J24,1,0))))</f>
        <v>0</v>
      </c>
    </row>
    <row r="52" spans="1:8" hidden="1" x14ac:dyDescent="0.25"/>
    <row r="53" spans="1:8" hidden="1" x14ac:dyDescent="0.25"/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sheetProtection sheet="1" scenarios="1" selectLockedCells="1"/>
  <mergeCells count="83">
    <mergeCell ref="U33:W33"/>
    <mergeCell ref="A1:S1"/>
    <mergeCell ref="A3:I3"/>
    <mergeCell ref="E4:G4"/>
    <mergeCell ref="I4:K4"/>
    <mergeCell ref="L4:M4"/>
    <mergeCell ref="E5:G5"/>
    <mergeCell ref="B9:C9"/>
    <mergeCell ref="D9:E9"/>
    <mergeCell ref="H9:I9"/>
    <mergeCell ref="J9:K9"/>
    <mergeCell ref="B8:C8"/>
    <mergeCell ref="D8:E8"/>
    <mergeCell ref="H8:I8"/>
    <mergeCell ref="J8:K8"/>
    <mergeCell ref="B11:C11"/>
    <mergeCell ref="D11:E11"/>
    <mergeCell ref="H11:I11"/>
    <mergeCell ref="J11:K11"/>
    <mergeCell ref="B10:C10"/>
    <mergeCell ref="D10:E10"/>
    <mergeCell ref="H10:I10"/>
    <mergeCell ref="J10:K10"/>
    <mergeCell ref="B14:C14"/>
    <mergeCell ref="D14:E14"/>
    <mergeCell ref="H14:I14"/>
    <mergeCell ref="J14:K14"/>
    <mergeCell ref="B12:C12"/>
    <mergeCell ref="D12:E12"/>
    <mergeCell ref="H12:I12"/>
    <mergeCell ref="J12:K12"/>
    <mergeCell ref="D22:E22"/>
    <mergeCell ref="H22:I22"/>
    <mergeCell ref="J22:K22"/>
    <mergeCell ref="B18:C18"/>
    <mergeCell ref="D18:E18"/>
    <mergeCell ref="H18:I18"/>
    <mergeCell ref="J18:K18"/>
    <mergeCell ref="A41:Q41"/>
    <mergeCell ref="D7:G7"/>
    <mergeCell ref="A7:C7"/>
    <mergeCell ref="A26:K26"/>
    <mergeCell ref="A32:K32"/>
    <mergeCell ref="B31:C31"/>
    <mergeCell ref="D31:E31"/>
    <mergeCell ref="H31:I31"/>
    <mergeCell ref="J31:K31"/>
    <mergeCell ref="B30:C30"/>
    <mergeCell ref="D30:E30"/>
    <mergeCell ref="B27:C27"/>
    <mergeCell ref="D27:E27"/>
    <mergeCell ref="H27:I27"/>
    <mergeCell ref="J27:K27"/>
    <mergeCell ref="B22:C22"/>
    <mergeCell ref="M16:O16"/>
    <mergeCell ref="P16:S16"/>
    <mergeCell ref="L5:M5"/>
    <mergeCell ref="T24:U24"/>
    <mergeCell ref="T17:U17"/>
    <mergeCell ref="U1:W5"/>
    <mergeCell ref="V17:W17"/>
    <mergeCell ref="N21:O21"/>
    <mergeCell ref="P21:Q21"/>
    <mergeCell ref="T21:U21"/>
    <mergeCell ref="V21:W21"/>
    <mergeCell ref="N17:O17"/>
    <mergeCell ref="P17:Q17"/>
    <mergeCell ref="A35:K35"/>
    <mergeCell ref="M27:W27"/>
    <mergeCell ref="M32:W32"/>
    <mergeCell ref="V24:W24"/>
    <mergeCell ref="N24:O24"/>
    <mergeCell ref="P24:Q24"/>
    <mergeCell ref="H30:I30"/>
    <mergeCell ref="J30:K30"/>
    <mergeCell ref="B29:C29"/>
    <mergeCell ref="D29:E29"/>
    <mergeCell ref="H29:I29"/>
    <mergeCell ref="J29:K29"/>
    <mergeCell ref="B28:C28"/>
    <mergeCell ref="D28:E28"/>
    <mergeCell ref="H28:I28"/>
    <mergeCell ref="J28:K28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7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75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101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811"/>
      <c r="V1" s="812"/>
      <c r="W1" s="813"/>
    </row>
    <row r="2" spans="1:23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814"/>
      <c r="V2" s="815"/>
      <c r="W2" s="816"/>
    </row>
    <row r="3" spans="1:23" ht="24.95" customHeight="1" thickBot="1" x14ac:dyDescent="0.3">
      <c r="A3" s="263" t="s">
        <v>193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814"/>
      <c r="V3" s="815"/>
      <c r="W3" s="816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279"/>
      <c r="I4" s="741" t="s">
        <v>54</v>
      </c>
      <c r="J4" s="741"/>
      <c r="K4" s="741"/>
      <c r="L4" s="742">
        <f>(3*J6)+(3*J33)</f>
        <v>3.3333333333333333E-2</v>
      </c>
      <c r="M4" s="742"/>
      <c r="N4" s="264" t="s">
        <v>33</v>
      </c>
      <c r="O4" s="319"/>
      <c r="P4" s="200"/>
      <c r="Q4" s="200"/>
      <c r="R4" s="200"/>
      <c r="S4" s="200"/>
      <c r="T4" s="201"/>
      <c r="U4" s="814"/>
      <c r="V4" s="815"/>
      <c r="W4" s="816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S47-A14+J33+"00:02"</f>
        <v>0.33333333333333215</v>
      </c>
      <c r="F5" s="810"/>
      <c r="G5" s="810"/>
      <c r="H5" s="215"/>
      <c r="I5" s="216" t="s">
        <v>79</v>
      </c>
      <c r="J5" s="216"/>
      <c r="K5" s="216"/>
      <c r="L5" s="687">
        <v>0</v>
      </c>
      <c r="M5" s="688"/>
      <c r="N5" s="215"/>
      <c r="O5" s="47"/>
      <c r="P5" s="47"/>
      <c r="Q5" s="47"/>
      <c r="R5" s="47"/>
      <c r="S5" s="47"/>
      <c r="T5" s="320"/>
      <c r="U5" s="817"/>
      <c r="V5" s="818"/>
      <c r="W5" s="819"/>
    </row>
    <row r="6" spans="1:23" ht="16.5" thickBot="1" x14ac:dyDescent="0.3">
      <c r="A6" s="701" t="s">
        <v>35</v>
      </c>
      <c r="B6" s="685"/>
      <c r="C6" s="685"/>
      <c r="D6" s="685"/>
      <c r="E6" s="685"/>
      <c r="F6" s="685"/>
      <c r="G6" s="685"/>
      <c r="H6" s="685"/>
      <c r="I6" s="79" t="s">
        <v>18</v>
      </c>
      <c r="J6" s="782">
        <v>5.5555555555555558E-3</v>
      </c>
      <c r="K6" s="782"/>
      <c r="L6" s="782"/>
      <c r="M6" s="72" t="s">
        <v>17</v>
      </c>
      <c r="N6" s="79"/>
      <c r="O6" s="686"/>
      <c r="P6" s="686"/>
      <c r="Q6" s="686"/>
      <c r="R6" s="686"/>
      <c r="S6" s="686"/>
      <c r="T6" s="686"/>
      <c r="U6" s="686"/>
      <c r="V6" s="686"/>
      <c r="W6" s="781"/>
    </row>
    <row r="7" spans="1:23" x14ac:dyDescent="0.25">
      <c r="A7" s="6"/>
      <c r="B7" s="744" t="s">
        <v>41</v>
      </c>
      <c r="C7" s="745"/>
      <c r="D7" s="744" t="s">
        <v>15</v>
      </c>
      <c r="E7" s="746"/>
      <c r="F7" s="102"/>
      <c r="G7" s="7"/>
      <c r="H7" s="747" t="s">
        <v>42</v>
      </c>
      <c r="I7" s="748"/>
      <c r="J7" s="747" t="s">
        <v>15</v>
      </c>
      <c r="K7" s="749"/>
      <c r="L7" s="76"/>
      <c r="M7" s="8"/>
      <c r="N7" s="804" t="s">
        <v>43</v>
      </c>
      <c r="O7" s="805"/>
      <c r="P7" s="804" t="s">
        <v>15</v>
      </c>
      <c r="Q7" s="806"/>
      <c r="R7" s="2"/>
      <c r="S7" s="9"/>
      <c r="T7" s="807" t="s">
        <v>55</v>
      </c>
      <c r="U7" s="808"/>
      <c r="V7" s="807" t="s">
        <v>15</v>
      </c>
      <c r="W7" s="809"/>
    </row>
    <row r="8" spans="1:23" x14ac:dyDescent="0.25">
      <c r="A8" s="10">
        <v>1</v>
      </c>
      <c r="B8" s="731" t="s">
        <v>22</v>
      </c>
      <c r="C8" s="732"/>
      <c r="D8" s="725">
        <f>A64+A68+A72+C59/1000000</f>
        <v>0</v>
      </c>
      <c r="E8" s="726"/>
      <c r="F8" s="103"/>
      <c r="G8" s="11">
        <v>1</v>
      </c>
      <c r="H8" s="727" t="s">
        <v>26</v>
      </c>
      <c r="I8" s="728"/>
      <c r="J8" s="729">
        <f>G64+G68+G72+I59/1000000</f>
        <v>0</v>
      </c>
      <c r="K8" s="730"/>
      <c r="L8" s="76"/>
      <c r="M8" s="12">
        <v>1</v>
      </c>
      <c r="N8" s="800" t="s">
        <v>37</v>
      </c>
      <c r="O8" s="801"/>
      <c r="P8" s="802">
        <f>M64+M68+M72+O59/1000000</f>
        <v>0</v>
      </c>
      <c r="Q8" s="803"/>
      <c r="R8" s="2"/>
      <c r="S8" s="13">
        <v>1</v>
      </c>
      <c r="T8" s="796" t="s">
        <v>56</v>
      </c>
      <c r="U8" s="797"/>
      <c r="V8" s="798">
        <f>S64+S68+S72+U59/1000000</f>
        <v>0</v>
      </c>
      <c r="W8" s="799"/>
    </row>
    <row r="9" spans="1:23" x14ac:dyDescent="0.25">
      <c r="A9" s="10">
        <v>2</v>
      </c>
      <c r="B9" s="731" t="s">
        <v>23</v>
      </c>
      <c r="C9" s="732"/>
      <c r="D9" s="725">
        <f>B64+A69+A73+C60/1000000</f>
        <v>0</v>
      </c>
      <c r="E9" s="726"/>
      <c r="F9" s="103"/>
      <c r="G9" s="11">
        <v>2</v>
      </c>
      <c r="H9" s="727" t="s">
        <v>27</v>
      </c>
      <c r="I9" s="728"/>
      <c r="J9" s="729">
        <f>H64+G69+G73+I60/1000000</f>
        <v>0</v>
      </c>
      <c r="K9" s="730"/>
      <c r="L9" s="76"/>
      <c r="M9" s="12">
        <v>2</v>
      </c>
      <c r="N9" s="800" t="s">
        <v>38</v>
      </c>
      <c r="O9" s="801"/>
      <c r="P9" s="802">
        <f>N64+M69+M73+O60/1000000</f>
        <v>0</v>
      </c>
      <c r="Q9" s="803"/>
      <c r="R9" s="2"/>
      <c r="S9" s="13">
        <v>2</v>
      </c>
      <c r="T9" s="796" t="s">
        <v>57</v>
      </c>
      <c r="U9" s="797"/>
      <c r="V9" s="798">
        <f>T64+S69+S73+U60/1000000</f>
        <v>0</v>
      </c>
      <c r="W9" s="799"/>
    </row>
    <row r="10" spans="1:23" x14ac:dyDescent="0.25">
      <c r="A10" s="10">
        <v>3</v>
      </c>
      <c r="B10" s="731" t="s">
        <v>24</v>
      </c>
      <c r="C10" s="732"/>
      <c r="D10" s="725">
        <f>A65+B68+B73+C61/1000000</f>
        <v>0</v>
      </c>
      <c r="E10" s="726"/>
      <c r="F10" s="103"/>
      <c r="G10" s="11">
        <v>3</v>
      </c>
      <c r="H10" s="727" t="s">
        <v>28</v>
      </c>
      <c r="I10" s="728"/>
      <c r="J10" s="729">
        <f>G65+H68+H73+I61/1000000</f>
        <v>0</v>
      </c>
      <c r="K10" s="730"/>
      <c r="L10" s="76"/>
      <c r="M10" s="12">
        <v>3</v>
      </c>
      <c r="N10" s="800" t="s">
        <v>39</v>
      </c>
      <c r="O10" s="801"/>
      <c r="P10" s="802">
        <f>M65+N68+N73+O61/1000000</f>
        <v>0</v>
      </c>
      <c r="Q10" s="803"/>
      <c r="R10" s="2"/>
      <c r="S10" s="13">
        <v>3</v>
      </c>
      <c r="T10" s="796" t="s">
        <v>58</v>
      </c>
      <c r="U10" s="797"/>
      <c r="V10" s="798">
        <f>S65+T68+T73+U61/1000000</f>
        <v>0</v>
      </c>
      <c r="W10" s="799"/>
    </row>
    <row r="11" spans="1:23" ht="15.75" thickBot="1" x14ac:dyDescent="0.3">
      <c r="A11" s="15">
        <v>4</v>
      </c>
      <c r="B11" s="717" t="s">
        <v>25</v>
      </c>
      <c r="C11" s="718"/>
      <c r="D11" s="719">
        <f>B65+B69+B72+C62/1000000</f>
        <v>0</v>
      </c>
      <c r="E11" s="720"/>
      <c r="F11" s="103"/>
      <c r="G11" s="16">
        <v>4</v>
      </c>
      <c r="H11" s="721" t="s">
        <v>29</v>
      </c>
      <c r="I11" s="722"/>
      <c r="J11" s="723">
        <f>H65+H69+H72+I62/1000000</f>
        <v>0</v>
      </c>
      <c r="K11" s="724"/>
      <c r="L11" s="76"/>
      <c r="M11" s="17">
        <v>4</v>
      </c>
      <c r="N11" s="792" t="s">
        <v>40</v>
      </c>
      <c r="O11" s="793"/>
      <c r="P11" s="794">
        <f>N65+N69+N72+O62/1000000</f>
        <v>0</v>
      </c>
      <c r="Q11" s="795"/>
      <c r="R11" s="2"/>
      <c r="S11" s="18">
        <v>4</v>
      </c>
      <c r="T11" s="788" t="s">
        <v>59</v>
      </c>
      <c r="U11" s="789"/>
      <c r="V11" s="790">
        <f>T65+T69+T72+U62/1000000</f>
        <v>0</v>
      </c>
      <c r="W11" s="791"/>
    </row>
    <row r="12" spans="1:23" ht="5.0999999999999996" customHeight="1" thickBot="1" x14ac:dyDescent="0.3">
      <c r="A12" s="19"/>
      <c r="B12" s="2"/>
      <c r="C12" s="2"/>
      <c r="D12" s="2"/>
      <c r="E12" s="2"/>
      <c r="F12" s="2"/>
      <c r="G12" s="2"/>
      <c r="H12" s="2"/>
      <c r="I12" s="22"/>
      <c r="J12" s="2"/>
      <c r="K12" s="2"/>
      <c r="L12" s="85"/>
      <c r="M12" s="2"/>
      <c r="N12" s="2"/>
      <c r="O12" s="2"/>
      <c r="P12" s="2"/>
      <c r="Q12" s="2"/>
      <c r="R12" s="2"/>
      <c r="S12" s="2"/>
      <c r="T12" s="2"/>
      <c r="U12" s="2"/>
      <c r="V12" s="2"/>
      <c r="W12" s="21"/>
    </row>
    <row r="13" spans="1:23" s="29" customFormat="1" x14ac:dyDescent="0.25">
      <c r="A13" s="24"/>
      <c r="B13" s="713" t="s">
        <v>5</v>
      </c>
      <c r="C13" s="713"/>
      <c r="D13" s="713" t="s">
        <v>16</v>
      </c>
      <c r="E13" s="714"/>
      <c r="F13" s="25"/>
      <c r="G13" s="26"/>
      <c r="H13" s="715" t="s">
        <v>5</v>
      </c>
      <c r="I13" s="715"/>
      <c r="J13" s="715" t="s">
        <v>16</v>
      </c>
      <c r="K13" s="716"/>
      <c r="L13" s="77"/>
      <c r="M13" s="27"/>
      <c r="N13" s="786" t="s">
        <v>5</v>
      </c>
      <c r="O13" s="786"/>
      <c r="P13" s="786" t="s">
        <v>16</v>
      </c>
      <c r="Q13" s="787"/>
      <c r="R13" s="25"/>
      <c r="S13" s="28"/>
      <c r="T13" s="784" t="s">
        <v>5</v>
      </c>
      <c r="U13" s="784"/>
      <c r="V13" s="784" t="s">
        <v>16</v>
      </c>
      <c r="W13" s="785"/>
    </row>
    <row r="14" spans="1:23" x14ac:dyDescent="0.25">
      <c r="A14" s="30">
        <f>E4</f>
        <v>0.375</v>
      </c>
      <c r="B14" s="31" t="str">
        <f>B8</f>
        <v>Equipe 1</v>
      </c>
      <c r="C14" s="31" t="str">
        <f>B9</f>
        <v>Equipe 2</v>
      </c>
      <c r="D14" s="53"/>
      <c r="E14" s="54"/>
      <c r="F14" s="2"/>
      <c r="G14" s="32">
        <f>A15+$J$6+"00:02"</f>
        <v>0.38888888888888884</v>
      </c>
      <c r="H14" s="33" t="str">
        <f>H8</f>
        <v>Equipe 5</v>
      </c>
      <c r="I14" s="33" t="str">
        <f>H9</f>
        <v>Equipe 6</v>
      </c>
      <c r="J14" s="57"/>
      <c r="K14" s="58"/>
      <c r="L14" s="76"/>
      <c r="M14" s="34">
        <f>G15+$J$6+"00:02"</f>
        <v>0.40277777777777768</v>
      </c>
      <c r="N14" s="35" t="str">
        <f>N8</f>
        <v>Equipe 9</v>
      </c>
      <c r="O14" s="35" t="str">
        <f>N9</f>
        <v>Equipe 10</v>
      </c>
      <c r="P14" s="61"/>
      <c r="Q14" s="62"/>
      <c r="R14" s="2"/>
      <c r="S14" s="36">
        <f>M15+$J$6+"00:02"</f>
        <v>0.41666666666666652</v>
      </c>
      <c r="T14" s="37" t="str">
        <f>T8</f>
        <v>Equipe 13</v>
      </c>
      <c r="U14" s="37" t="str">
        <f>T9</f>
        <v>Equipe 14</v>
      </c>
      <c r="V14" s="65"/>
      <c r="W14" s="66"/>
    </row>
    <row r="15" spans="1:23" ht="15.75" thickBot="1" x14ac:dyDescent="0.3">
      <c r="A15" s="38">
        <f>A14+$J$6+"00:02"</f>
        <v>0.38194444444444442</v>
      </c>
      <c r="B15" s="39" t="str">
        <f>B10</f>
        <v>Equipe 3</v>
      </c>
      <c r="C15" s="39" t="str">
        <f>B11</f>
        <v>Equipe 4</v>
      </c>
      <c r="D15" s="55"/>
      <c r="E15" s="56"/>
      <c r="F15" s="2"/>
      <c r="G15" s="40">
        <f>G14+$J$6+"00:02"</f>
        <v>0.39583333333333326</v>
      </c>
      <c r="H15" s="41" t="str">
        <f>H10</f>
        <v>Equipe 7</v>
      </c>
      <c r="I15" s="41" t="str">
        <f>H11</f>
        <v>Equipe 8</v>
      </c>
      <c r="J15" s="59"/>
      <c r="K15" s="60"/>
      <c r="L15" s="76"/>
      <c r="M15" s="42">
        <f>M14+$J$6+"00:02"</f>
        <v>0.4097222222222221</v>
      </c>
      <c r="N15" s="43" t="str">
        <f>N10</f>
        <v>Equipe 11</v>
      </c>
      <c r="O15" s="43" t="str">
        <f>N11</f>
        <v>Equipe 12</v>
      </c>
      <c r="P15" s="63"/>
      <c r="Q15" s="64"/>
      <c r="R15" s="2"/>
      <c r="S15" s="44">
        <f>S14+$J$6+"00:02"</f>
        <v>0.42361111111111094</v>
      </c>
      <c r="T15" s="45" t="str">
        <f>T10</f>
        <v>Equipe 15</v>
      </c>
      <c r="U15" s="45" t="str">
        <f>T11</f>
        <v>Equipe 16</v>
      </c>
      <c r="V15" s="67"/>
      <c r="W15" s="68"/>
    </row>
    <row r="16" spans="1:23" ht="5.0999999999999996" customHeight="1" thickBot="1" x14ac:dyDescent="0.3">
      <c r="A16" s="19"/>
      <c r="B16" s="2"/>
      <c r="C16" s="2"/>
      <c r="D16" s="46"/>
      <c r="E16" s="46"/>
      <c r="F16" s="2"/>
      <c r="G16" s="2"/>
      <c r="H16" s="2"/>
      <c r="I16" s="47"/>
      <c r="J16" s="46"/>
      <c r="K16" s="46"/>
      <c r="L16" s="85"/>
      <c r="M16" s="2"/>
      <c r="N16" s="2"/>
      <c r="O16" s="2"/>
      <c r="P16" s="46"/>
      <c r="Q16" s="46"/>
      <c r="R16" s="2"/>
      <c r="S16" s="2"/>
      <c r="T16" s="2"/>
      <c r="U16" s="2"/>
      <c r="V16" s="46"/>
      <c r="W16" s="48"/>
    </row>
    <row r="17" spans="1:23" s="29" customFormat="1" x14ac:dyDescent="0.25">
      <c r="A17" s="24"/>
      <c r="B17" s="713" t="s">
        <v>6</v>
      </c>
      <c r="C17" s="713"/>
      <c r="D17" s="713" t="s">
        <v>16</v>
      </c>
      <c r="E17" s="714"/>
      <c r="F17" s="25"/>
      <c r="G17" s="26"/>
      <c r="H17" s="715" t="s">
        <v>6</v>
      </c>
      <c r="I17" s="715"/>
      <c r="J17" s="715" t="s">
        <v>16</v>
      </c>
      <c r="K17" s="716"/>
      <c r="L17" s="77"/>
      <c r="M17" s="27"/>
      <c r="N17" s="786" t="s">
        <v>6</v>
      </c>
      <c r="O17" s="786"/>
      <c r="P17" s="786" t="s">
        <v>16</v>
      </c>
      <c r="Q17" s="787"/>
      <c r="R17" s="25"/>
      <c r="S17" s="28"/>
      <c r="T17" s="784" t="s">
        <v>6</v>
      </c>
      <c r="U17" s="784"/>
      <c r="V17" s="784" t="s">
        <v>16</v>
      </c>
      <c r="W17" s="785"/>
    </row>
    <row r="18" spans="1:23" x14ac:dyDescent="0.25">
      <c r="A18" s="30">
        <f>S15+$J$6+"00:02"</f>
        <v>0.43055555555555536</v>
      </c>
      <c r="B18" s="31" t="str">
        <f>B8</f>
        <v>Equipe 1</v>
      </c>
      <c r="C18" s="31" t="str">
        <f>B10</f>
        <v>Equipe 3</v>
      </c>
      <c r="D18" s="53"/>
      <c r="E18" s="54"/>
      <c r="F18" s="2"/>
      <c r="G18" s="32">
        <f>A19+$J$6+"00:02"</f>
        <v>0.4444444444444442</v>
      </c>
      <c r="H18" s="33" t="str">
        <f>H8</f>
        <v>Equipe 5</v>
      </c>
      <c r="I18" s="33" t="str">
        <f>H10</f>
        <v>Equipe 7</v>
      </c>
      <c r="J18" s="57"/>
      <c r="K18" s="58"/>
      <c r="L18" s="76"/>
      <c r="M18" s="34">
        <f>G19+$J$6+"00:02"</f>
        <v>0.45833333333333304</v>
      </c>
      <c r="N18" s="35" t="str">
        <f>N8</f>
        <v>Equipe 9</v>
      </c>
      <c r="O18" s="35" t="str">
        <f>N10</f>
        <v>Equipe 11</v>
      </c>
      <c r="P18" s="61"/>
      <c r="Q18" s="62"/>
      <c r="R18" s="2"/>
      <c r="S18" s="36">
        <f>M19+$J$6+"00:02"</f>
        <v>0.47222222222222188</v>
      </c>
      <c r="T18" s="37" t="str">
        <f>T8</f>
        <v>Equipe 13</v>
      </c>
      <c r="U18" s="37" t="str">
        <f>T10</f>
        <v>Equipe 15</v>
      </c>
      <c r="V18" s="65"/>
      <c r="W18" s="66"/>
    </row>
    <row r="19" spans="1:23" ht="15.75" thickBot="1" x14ac:dyDescent="0.3">
      <c r="A19" s="38">
        <f>A18+$J$6+"00:02"</f>
        <v>0.43749999999999978</v>
      </c>
      <c r="B19" s="39" t="str">
        <f>B9</f>
        <v>Equipe 2</v>
      </c>
      <c r="C19" s="39" t="str">
        <f>B11</f>
        <v>Equipe 4</v>
      </c>
      <c r="D19" s="55"/>
      <c r="E19" s="56"/>
      <c r="F19" s="2"/>
      <c r="G19" s="40">
        <f>G18+$J$6+"00:02"</f>
        <v>0.45138888888888862</v>
      </c>
      <c r="H19" s="41" t="str">
        <f>H9</f>
        <v>Equipe 6</v>
      </c>
      <c r="I19" s="41" t="str">
        <f>H11</f>
        <v>Equipe 8</v>
      </c>
      <c r="J19" s="59"/>
      <c r="K19" s="60"/>
      <c r="L19" s="76"/>
      <c r="M19" s="42">
        <f>M18+$J$6+"00:02"</f>
        <v>0.46527777777777746</v>
      </c>
      <c r="N19" s="43" t="str">
        <f>N9</f>
        <v>Equipe 10</v>
      </c>
      <c r="O19" s="43" t="str">
        <f>N11</f>
        <v>Equipe 12</v>
      </c>
      <c r="P19" s="63"/>
      <c r="Q19" s="64"/>
      <c r="R19" s="2"/>
      <c r="S19" s="44">
        <f>S18+$J$6+"00:02"</f>
        <v>0.4791666666666663</v>
      </c>
      <c r="T19" s="45" t="str">
        <f>T9</f>
        <v>Equipe 14</v>
      </c>
      <c r="U19" s="45" t="str">
        <f>T11</f>
        <v>Equipe 16</v>
      </c>
      <c r="V19" s="67"/>
      <c r="W19" s="68"/>
    </row>
    <row r="20" spans="1:23" ht="5.0999999999999996" customHeight="1" thickBot="1" x14ac:dyDescent="0.3">
      <c r="A20" s="19"/>
      <c r="B20" s="2"/>
      <c r="C20" s="2"/>
      <c r="D20" s="46"/>
      <c r="E20" s="46"/>
      <c r="F20" s="2"/>
      <c r="G20" s="2"/>
      <c r="H20" s="2"/>
      <c r="I20" s="47"/>
      <c r="J20" s="46"/>
      <c r="K20" s="46"/>
      <c r="L20" s="85"/>
      <c r="M20" s="2"/>
      <c r="N20" s="2"/>
      <c r="O20" s="2"/>
      <c r="P20" s="46"/>
      <c r="Q20" s="46"/>
      <c r="R20" s="2"/>
      <c r="S20" s="2"/>
      <c r="T20" s="2"/>
      <c r="U20" s="2"/>
      <c r="V20" s="46"/>
      <c r="W20" s="48"/>
    </row>
    <row r="21" spans="1:23" s="29" customFormat="1" x14ac:dyDescent="0.25">
      <c r="A21" s="24"/>
      <c r="B21" s="713" t="s">
        <v>7</v>
      </c>
      <c r="C21" s="713"/>
      <c r="D21" s="713" t="s">
        <v>16</v>
      </c>
      <c r="E21" s="714"/>
      <c r="F21" s="25"/>
      <c r="G21" s="26"/>
      <c r="H21" s="715" t="s">
        <v>7</v>
      </c>
      <c r="I21" s="715"/>
      <c r="J21" s="715" t="s">
        <v>16</v>
      </c>
      <c r="K21" s="716"/>
      <c r="L21" s="77"/>
      <c r="M21" s="27"/>
      <c r="N21" s="786" t="s">
        <v>7</v>
      </c>
      <c r="O21" s="786"/>
      <c r="P21" s="786" t="s">
        <v>16</v>
      </c>
      <c r="Q21" s="787"/>
      <c r="R21" s="25"/>
      <c r="S21" s="28"/>
      <c r="T21" s="784" t="s">
        <v>7</v>
      </c>
      <c r="U21" s="784"/>
      <c r="V21" s="784" t="s">
        <v>16</v>
      </c>
      <c r="W21" s="785"/>
    </row>
    <row r="22" spans="1:23" x14ac:dyDescent="0.25">
      <c r="A22" s="30">
        <f>S19+$J$6+"00:02"</f>
        <v>0.48611111111111072</v>
      </c>
      <c r="B22" s="31" t="str">
        <f>B8</f>
        <v>Equipe 1</v>
      </c>
      <c r="C22" s="31" t="str">
        <f>B11</f>
        <v>Equipe 4</v>
      </c>
      <c r="D22" s="53"/>
      <c r="E22" s="54"/>
      <c r="F22" s="2"/>
      <c r="G22" s="32">
        <f>A23+$J$6+"00:02"</f>
        <v>0.49999999999999956</v>
      </c>
      <c r="H22" s="33" t="str">
        <f>H8</f>
        <v>Equipe 5</v>
      </c>
      <c r="I22" s="33" t="str">
        <f>H11</f>
        <v>Equipe 8</v>
      </c>
      <c r="J22" s="57"/>
      <c r="K22" s="58"/>
      <c r="L22" s="76"/>
      <c r="M22" s="34">
        <f>G23+$J$6+"00:02"</f>
        <v>0.5138888888888884</v>
      </c>
      <c r="N22" s="35" t="str">
        <f>N8</f>
        <v>Equipe 9</v>
      </c>
      <c r="O22" s="35" t="str">
        <f>N11</f>
        <v>Equipe 12</v>
      </c>
      <c r="P22" s="61"/>
      <c r="Q22" s="62"/>
      <c r="R22" s="2"/>
      <c r="S22" s="36">
        <f>M23+$J$6+"00:02"</f>
        <v>0.52777777777777724</v>
      </c>
      <c r="T22" s="37" t="str">
        <f>T8</f>
        <v>Equipe 13</v>
      </c>
      <c r="U22" s="37" t="str">
        <f>T11</f>
        <v>Equipe 16</v>
      </c>
      <c r="V22" s="65"/>
      <c r="W22" s="66"/>
    </row>
    <row r="23" spans="1:23" ht="15.75" thickBot="1" x14ac:dyDescent="0.3">
      <c r="A23" s="38">
        <f>A22+$J$6+"00:02"</f>
        <v>0.49305555555555514</v>
      </c>
      <c r="B23" s="39" t="str">
        <f>B9</f>
        <v>Equipe 2</v>
      </c>
      <c r="C23" s="39" t="str">
        <f>B10</f>
        <v>Equipe 3</v>
      </c>
      <c r="D23" s="55"/>
      <c r="E23" s="56"/>
      <c r="F23" s="47"/>
      <c r="G23" s="40">
        <f>G22+$J$6+"00:02"</f>
        <v>0.50694444444444398</v>
      </c>
      <c r="H23" s="41" t="str">
        <f>H9</f>
        <v>Equipe 6</v>
      </c>
      <c r="I23" s="41" t="str">
        <f>H10</f>
        <v>Equipe 7</v>
      </c>
      <c r="J23" s="59"/>
      <c r="K23" s="60"/>
      <c r="L23" s="78"/>
      <c r="M23" s="42">
        <f>M22+$J$6+"00:02"</f>
        <v>0.52083333333333282</v>
      </c>
      <c r="N23" s="43" t="str">
        <f>N9</f>
        <v>Equipe 10</v>
      </c>
      <c r="O23" s="43" t="str">
        <f>N10</f>
        <v>Equipe 11</v>
      </c>
      <c r="P23" s="63"/>
      <c r="Q23" s="64"/>
      <c r="R23" s="47"/>
      <c r="S23" s="44">
        <f>S22+$J$6+"00:02"</f>
        <v>0.53472222222222165</v>
      </c>
      <c r="T23" s="45" t="str">
        <f>T9</f>
        <v>Equipe 14</v>
      </c>
      <c r="U23" s="45" t="str">
        <f>T10</f>
        <v>Equipe 15</v>
      </c>
      <c r="V23" s="67"/>
      <c r="W23" s="68"/>
    </row>
    <row r="24" spans="1:23" ht="5.0999999999999996" customHeight="1" thickBot="1" x14ac:dyDescent="0.3">
      <c r="A24" s="118"/>
      <c r="B24" s="119"/>
      <c r="C24" s="119"/>
      <c r="D24" s="173"/>
      <c r="E24" s="173"/>
      <c r="F24" s="89"/>
      <c r="G24" s="120"/>
      <c r="H24" s="119"/>
      <c r="I24" s="119"/>
      <c r="J24" s="173"/>
      <c r="K24" s="173"/>
      <c r="L24" s="89"/>
      <c r="M24" s="120"/>
      <c r="N24" s="119"/>
      <c r="O24" s="119"/>
      <c r="P24" s="173"/>
      <c r="Q24" s="173"/>
      <c r="R24" s="89"/>
      <c r="S24" s="93"/>
      <c r="T24" s="115"/>
      <c r="U24" s="115"/>
      <c r="V24" s="116"/>
      <c r="W24" s="117"/>
    </row>
    <row r="25" spans="1:23" ht="16.5" thickBot="1" x14ac:dyDescent="0.3">
      <c r="A25" s="783" t="s">
        <v>60</v>
      </c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3"/>
    </row>
    <row r="26" spans="1:23" x14ac:dyDescent="0.25">
      <c r="A26" s="81" t="s">
        <v>21</v>
      </c>
      <c r="B26" s="711" t="s">
        <v>41</v>
      </c>
      <c r="C26" s="711"/>
      <c r="D26" s="711" t="s">
        <v>15</v>
      </c>
      <c r="E26" s="712"/>
      <c r="F26" s="122"/>
      <c r="G26" s="81" t="s">
        <v>21</v>
      </c>
      <c r="H26" s="711" t="s">
        <v>42</v>
      </c>
      <c r="I26" s="711"/>
      <c r="J26" s="711" t="s">
        <v>15</v>
      </c>
      <c r="K26" s="712"/>
      <c r="L26" s="75"/>
      <c r="M26" s="81" t="s">
        <v>21</v>
      </c>
      <c r="N26" s="711" t="s">
        <v>43</v>
      </c>
      <c r="O26" s="711"/>
      <c r="P26" s="711" t="s">
        <v>15</v>
      </c>
      <c r="Q26" s="712"/>
      <c r="R26" s="122"/>
      <c r="S26" s="81" t="s">
        <v>21</v>
      </c>
      <c r="T26" s="711" t="s">
        <v>55</v>
      </c>
      <c r="U26" s="711"/>
      <c r="V26" s="711" t="s">
        <v>15</v>
      </c>
      <c r="W26" s="712"/>
    </row>
    <row r="27" spans="1:23" x14ac:dyDescent="0.25">
      <c r="A27" s="49">
        <v>1</v>
      </c>
      <c r="B27" s="680" t="str">
        <f>VLOOKUP($A27,$A$59:$D$62,2,FALSE)</f>
        <v>Equipe 1</v>
      </c>
      <c r="C27" s="680"/>
      <c r="D27" s="683">
        <f>VLOOKUP($A27,$A$59:$D$62,4,FALSE)</f>
        <v>3.9999999999999998E-7</v>
      </c>
      <c r="E27" s="684"/>
      <c r="F27" s="105"/>
      <c r="G27" s="49">
        <v>1</v>
      </c>
      <c r="H27" s="680" t="str">
        <f>VLOOKUP($G27,$G$59:$J$62,2,FALSE)</f>
        <v>Equipe 5</v>
      </c>
      <c r="I27" s="680"/>
      <c r="J27" s="681">
        <f>VLOOKUP($G27,$G$59:$J$62,4,FALSE)</f>
        <v>3.9999999999999998E-7</v>
      </c>
      <c r="K27" s="682"/>
      <c r="L27" s="76"/>
      <c r="M27" s="49">
        <v>1</v>
      </c>
      <c r="N27" s="680" t="str">
        <f>VLOOKUP($M27,$M$59:$P$62,2,FALSE)</f>
        <v>Equipe 9</v>
      </c>
      <c r="O27" s="680"/>
      <c r="P27" s="681">
        <f>VLOOKUP($M27,$M$59:$P$62,4,FALSE)</f>
        <v>3.9999999999999998E-7</v>
      </c>
      <c r="Q27" s="682"/>
      <c r="R27" s="105"/>
      <c r="S27" s="49">
        <v>1</v>
      </c>
      <c r="T27" s="680" t="str">
        <f>VLOOKUP($S27,$S$59:$V$62,2,FALSE)</f>
        <v>Equipe 13</v>
      </c>
      <c r="U27" s="680"/>
      <c r="V27" s="681">
        <f>VLOOKUP($S27,$S$59:$V$62,4,FALSE)</f>
        <v>3.9999999999999998E-7</v>
      </c>
      <c r="W27" s="682"/>
    </row>
    <row r="28" spans="1:23" x14ac:dyDescent="0.25">
      <c r="A28" s="49">
        <v>2</v>
      </c>
      <c r="B28" s="680" t="str">
        <f>VLOOKUP($A28,$A$59:$D$62,2,FALSE)</f>
        <v>Equipe 2</v>
      </c>
      <c r="C28" s="680"/>
      <c r="D28" s="683">
        <f>VLOOKUP($A28,$A$59:$D$62,4,FALSE)</f>
        <v>2.9999999999999999E-7</v>
      </c>
      <c r="E28" s="684"/>
      <c r="F28" s="105"/>
      <c r="G28" s="49">
        <v>2</v>
      </c>
      <c r="H28" s="680" t="str">
        <f>VLOOKUP($G28,$G$59:$J$62,2,FALSE)</f>
        <v>Equipe 6</v>
      </c>
      <c r="I28" s="680"/>
      <c r="J28" s="681">
        <f>VLOOKUP($G28,$G$59:$J$62,4,FALSE)</f>
        <v>2.9999999999999999E-7</v>
      </c>
      <c r="K28" s="682"/>
      <c r="L28" s="76"/>
      <c r="M28" s="49">
        <v>2</v>
      </c>
      <c r="N28" s="680" t="str">
        <f>VLOOKUP($M28,$M$59:$P$62,2,FALSE)</f>
        <v>Equipe 10</v>
      </c>
      <c r="O28" s="680"/>
      <c r="P28" s="681">
        <f>VLOOKUP($M28,$M$59:$P$62,4,FALSE)</f>
        <v>2.9999999999999999E-7</v>
      </c>
      <c r="Q28" s="682"/>
      <c r="R28" s="105"/>
      <c r="S28" s="49">
        <v>2</v>
      </c>
      <c r="T28" s="680" t="str">
        <f>VLOOKUP($S28,$S$59:$V$62,2,FALSE)</f>
        <v>Equipe 14</v>
      </c>
      <c r="U28" s="680"/>
      <c r="V28" s="681">
        <f>VLOOKUP($S28,$S$59:$V$62,4,FALSE)</f>
        <v>2.9999999999999999E-7</v>
      </c>
      <c r="W28" s="682"/>
    </row>
    <row r="29" spans="1:23" x14ac:dyDescent="0.25">
      <c r="A29" s="49">
        <v>3</v>
      </c>
      <c r="B29" s="680" t="str">
        <f>VLOOKUP($A29,$A$59:$D$62,2,FALSE)</f>
        <v>Equipe 3</v>
      </c>
      <c r="C29" s="680"/>
      <c r="D29" s="683">
        <f>VLOOKUP($A29,$A$59:$D$62,4,FALSE)</f>
        <v>1.9999999999999999E-7</v>
      </c>
      <c r="E29" s="684"/>
      <c r="F29" s="105"/>
      <c r="G29" s="49">
        <v>3</v>
      </c>
      <c r="H29" s="680" t="str">
        <f>VLOOKUP($G29,$G$59:$J$62,2,FALSE)</f>
        <v>Equipe 7</v>
      </c>
      <c r="I29" s="680"/>
      <c r="J29" s="681">
        <f>VLOOKUP($G29,$G$59:$J$62,4,FALSE)</f>
        <v>1.9999999999999999E-7</v>
      </c>
      <c r="K29" s="682"/>
      <c r="L29" s="76"/>
      <c r="M29" s="49">
        <v>3</v>
      </c>
      <c r="N29" s="680" t="str">
        <f>VLOOKUP($M29,$M$59:$P$62,2,FALSE)</f>
        <v>Equipe 11</v>
      </c>
      <c r="O29" s="680"/>
      <c r="P29" s="681">
        <f>VLOOKUP($M29,$M$59:$P$62,4,FALSE)</f>
        <v>1.9999999999999999E-7</v>
      </c>
      <c r="Q29" s="682"/>
      <c r="R29" s="105"/>
      <c r="S29" s="49">
        <v>3</v>
      </c>
      <c r="T29" s="680" t="str">
        <f>VLOOKUP($S29,$S$59:$V$62,2,FALSE)</f>
        <v>Equipe 15</v>
      </c>
      <c r="U29" s="680"/>
      <c r="V29" s="681">
        <f>VLOOKUP($S29,$S$59:$V$62,4,FALSE)</f>
        <v>1.9999999999999999E-7</v>
      </c>
      <c r="W29" s="682"/>
    </row>
    <row r="30" spans="1:23" ht="15.75" thickBot="1" x14ac:dyDescent="0.3">
      <c r="A30" s="50">
        <v>4</v>
      </c>
      <c r="B30" s="706" t="str">
        <f>VLOOKUP($A30,$A$59:$D$62,2,FALSE)</f>
        <v>Equipe 4</v>
      </c>
      <c r="C30" s="706"/>
      <c r="D30" s="707">
        <f>VLOOKUP($A30,$A$59:$D$62,4,FALSE)</f>
        <v>9.9999999999999995E-8</v>
      </c>
      <c r="E30" s="708"/>
      <c r="F30" s="123"/>
      <c r="G30" s="50">
        <v>4</v>
      </c>
      <c r="H30" s="706" t="str">
        <f>VLOOKUP($G30,$G$59:$J$62,2,FALSE)</f>
        <v>Equipe 8</v>
      </c>
      <c r="I30" s="706"/>
      <c r="J30" s="709">
        <f>VLOOKUP($G30,$G$59:$J$62,4,FALSE)</f>
        <v>9.9999999999999995E-8</v>
      </c>
      <c r="K30" s="710"/>
      <c r="L30" s="78"/>
      <c r="M30" s="50">
        <v>4</v>
      </c>
      <c r="N30" s="706" t="str">
        <f>VLOOKUP($M30,$M$59:$P$62,2,FALSE)</f>
        <v>Equipe 12</v>
      </c>
      <c r="O30" s="706"/>
      <c r="P30" s="709">
        <f>VLOOKUP($M30,$M$59:$P$62,4,FALSE)</f>
        <v>9.9999999999999995E-8</v>
      </c>
      <c r="Q30" s="710"/>
      <c r="R30" s="123"/>
      <c r="S30" s="50">
        <v>4</v>
      </c>
      <c r="T30" s="706" t="str">
        <f>VLOOKUP($S30,$S$59:$V$62,2,FALSE)</f>
        <v>Equipe 16</v>
      </c>
      <c r="U30" s="706"/>
      <c r="V30" s="709">
        <f>VLOOKUP($S30,$S$59:$V$62,4,FALSE)</f>
        <v>9.9999999999999995E-8</v>
      </c>
      <c r="W30" s="710"/>
    </row>
    <row r="31" spans="1:23" ht="15.75" thickBot="1" x14ac:dyDescent="0.3">
      <c r="A31" s="703" t="s">
        <v>34</v>
      </c>
      <c r="B31" s="704"/>
      <c r="C31" s="704"/>
      <c r="D31" s="704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4"/>
      <c r="V31" s="704"/>
      <c r="W31" s="705"/>
    </row>
    <row r="32" spans="1:23" ht="24.95" customHeight="1" thickBot="1" x14ac:dyDescent="0.3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</row>
    <row r="33" spans="1:24" ht="16.350000000000001" customHeight="1" thickBot="1" x14ac:dyDescent="0.3">
      <c r="A33" s="701" t="s">
        <v>76</v>
      </c>
      <c r="B33" s="685"/>
      <c r="C33" s="685"/>
      <c r="D33" s="685"/>
      <c r="E33" s="685"/>
      <c r="F33" s="685"/>
      <c r="G33" s="685"/>
      <c r="H33" s="685"/>
      <c r="I33" s="79" t="s">
        <v>18</v>
      </c>
      <c r="J33" s="782">
        <v>5.5555555555555558E-3</v>
      </c>
      <c r="K33" s="782"/>
      <c r="L33" s="782"/>
      <c r="M33" s="72" t="s">
        <v>17</v>
      </c>
      <c r="N33" s="79"/>
      <c r="O33" s="686"/>
      <c r="P33" s="686"/>
      <c r="Q33" s="686"/>
      <c r="R33" s="686"/>
      <c r="S33" s="686"/>
      <c r="T33" s="686"/>
      <c r="U33" s="686"/>
      <c r="V33" s="686"/>
      <c r="W33" s="781"/>
      <c r="X33" s="74"/>
    </row>
    <row r="34" spans="1:24" ht="16.350000000000001" customHeight="1" thickBot="1" x14ac:dyDescent="0.3">
      <c r="A34" s="780" t="s">
        <v>74</v>
      </c>
      <c r="B34" s="686"/>
      <c r="C34" s="686"/>
      <c r="D34" s="686"/>
      <c r="E34" s="686"/>
      <c r="F34" s="686"/>
      <c r="G34" s="686"/>
      <c r="H34" s="686"/>
      <c r="I34" s="686"/>
      <c r="J34" s="686"/>
      <c r="K34" s="781"/>
      <c r="L34" s="174"/>
      <c r="M34" s="780" t="s">
        <v>75</v>
      </c>
      <c r="N34" s="686"/>
      <c r="O34" s="686"/>
      <c r="P34" s="686"/>
      <c r="Q34" s="686"/>
      <c r="R34" s="686"/>
      <c r="S34" s="686"/>
      <c r="T34" s="686"/>
      <c r="U34" s="686"/>
      <c r="V34" s="686"/>
      <c r="W34" s="781"/>
      <c r="X34" s="74"/>
    </row>
    <row r="35" spans="1:24" ht="14.45" customHeight="1" x14ac:dyDescent="0.25">
      <c r="A35" s="149"/>
      <c r="B35" s="759" t="s">
        <v>69</v>
      </c>
      <c r="C35" s="759"/>
      <c r="D35" s="759" t="s">
        <v>16</v>
      </c>
      <c r="E35" s="760"/>
      <c r="F35" s="25"/>
      <c r="G35" s="140"/>
      <c r="H35" s="776" t="s">
        <v>69</v>
      </c>
      <c r="I35" s="776"/>
      <c r="J35" s="776" t="s">
        <v>16</v>
      </c>
      <c r="K35" s="777"/>
      <c r="L35" s="164"/>
      <c r="M35" s="150"/>
      <c r="N35" s="778" t="s">
        <v>69</v>
      </c>
      <c r="O35" s="778"/>
      <c r="P35" s="778" t="s">
        <v>16</v>
      </c>
      <c r="Q35" s="779"/>
      <c r="R35" s="25"/>
      <c r="S35" s="150"/>
      <c r="T35" s="778" t="s">
        <v>69</v>
      </c>
      <c r="U35" s="778"/>
      <c r="V35" s="778" t="s">
        <v>16</v>
      </c>
      <c r="W35" s="779"/>
    </row>
    <row r="36" spans="1:24" ht="14.45" customHeight="1" x14ac:dyDescent="0.25">
      <c r="A36" s="141">
        <f>S23+$J$6+"00:02"+L5</f>
        <v>0.54166666666666607</v>
      </c>
      <c r="B36" s="142" t="str">
        <f>IF($D$14="","3eme A",B29)</f>
        <v>3eme A</v>
      </c>
      <c r="C36" s="142" t="str">
        <f>IF($D$14="","4eme B",H30)</f>
        <v>4eme B</v>
      </c>
      <c r="D36" s="143"/>
      <c r="E36" s="144"/>
      <c r="F36" s="2"/>
      <c r="G36" s="141">
        <f>A37+$J$33+"00:02"</f>
        <v>0.55555555555555491</v>
      </c>
      <c r="H36" s="142" t="str">
        <f>IF($D$14="","3eme C",N29)</f>
        <v>3eme C</v>
      </c>
      <c r="I36" s="142" t="str">
        <f>IF($D$14="","4eme D",T30)</f>
        <v>4eme D</v>
      </c>
      <c r="J36" s="143"/>
      <c r="K36" s="144"/>
      <c r="L36" s="165"/>
      <c r="M36" s="151">
        <f>G37+$J$33+"00:02"</f>
        <v>0.56944444444444375</v>
      </c>
      <c r="N36" s="152" t="str">
        <f>IF($D$14="","1er A",B27)</f>
        <v>1er A</v>
      </c>
      <c r="O36" s="152" t="str">
        <f>IF($D$14="","2eme B",H28)</f>
        <v>2eme B</v>
      </c>
      <c r="P36" s="153"/>
      <c r="Q36" s="154"/>
      <c r="R36" s="2"/>
      <c r="S36" s="151">
        <f>M37+$J$33+"00:02"</f>
        <v>0.58333333333333259</v>
      </c>
      <c r="T36" s="152" t="str">
        <f>IF($D$14="","1er C",N27)</f>
        <v>1er C</v>
      </c>
      <c r="U36" s="152" t="str">
        <f>IF($D$14="","2eme D",T28)</f>
        <v>2eme D</v>
      </c>
      <c r="V36" s="153"/>
      <c r="W36" s="154"/>
    </row>
    <row r="37" spans="1:24" ht="14.45" customHeight="1" thickBot="1" x14ac:dyDescent="0.3">
      <c r="A37" s="145">
        <f>A36+$J$33+"00:02"</f>
        <v>0.54861111111111049</v>
      </c>
      <c r="B37" s="146" t="str">
        <f>IF($D$14="","3eme B",H29)</f>
        <v>3eme B</v>
      </c>
      <c r="C37" s="146" t="str">
        <f>IF($D$14="","4eme A",B30)</f>
        <v>4eme A</v>
      </c>
      <c r="D37" s="147"/>
      <c r="E37" s="148"/>
      <c r="F37" s="2"/>
      <c r="G37" s="145">
        <f>G36+$J$33+"00:02"</f>
        <v>0.56249999999999933</v>
      </c>
      <c r="H37" s="146" t="str">
        <f>IF($D$14="","3eme D",T29)</f>
        <v>3eme D</v>
      </c>
      <c r="I37" s="146" t="str">
        <f>IF($D$14="","4eme C",N30)</f>
        <v>4eme C</v>
      </c>
      <c r="J37" s="147"/>
      <c r="K37" s="148"/>
      <c r="L37" s="165"/>
      <c r="M37" s="155">
        <f>M36+$J$33+"00:02"</f>
        <v>0.57638888888888817</v>
      </c>
      <c r="N37" s="156" t="str">
        <f>IF($D$14="","1er B",H27)</f>
        <v>1er B</v>
      </c>
      <c r="O37" s="156" t="str">
        <f>IF($D$14="","2eme A",B28)</f>
        <v>2eme A</v>
      </c>
      <c r="P37" s="157"/>
      <c r="Q37" s="158"/>
      <c r="R37" s="2"/>
      <c r="S37" s="155">
        <f>S36+$J$33+"00:02"</f>
        <v>0.59027777777777701</v>
      </c>
      <c r="T37" s="156" t="str">
        <f>IF($D$14="","1er D",T27)</f>
        <v>1er D</v>
      </c>
      <c r="U37" s="156" t="str">
        <f>IF($D$14="","2eme C",N28)</f>
        <v>2eme C</v>
      </c>
      <c r="V37" s="157"/>
      <c r="W37" s="158"/>
    </row>
    <row r="38" spans="1:24" ht="5.0999999999999996" customHeight="1" thickBot="1" x14ac:dyDescent="0.3">
      <c r="A38" s="19"/>
      <c r="B38" s="2"/>
      <c r="C38" s="2"/>
      <c r="D38" s="46"/>
      <c r="E38" s="46"/>
      <c r="F38" s="2"/>
      <c r="G38" s="2"/>
      <c r="H38" s="2"/>
      <c r="I38" s="47"/>
      <c r="J38" s="46"/>
      <c r="K38" s="48"/>
      <c r="L38" s="165"/>
      <c r="M38" s="19"/>
      <c r="N38" s="2"/>
      <c r="O38" s="2"/>
      <c r="P38" s="46"/>
      <c r="Q38" s="281"/>
      <c r="R38" s="2"/>
      <c r="S38" s="2"/>
      <c r="T38" s="2"/>
      <c r="U38" s="2"/>
      <c r="V38" s="46"/>
      <c r="W38" s="48"/>
    </row>
    <row r="39" spans="1:24" ht="14.45" customHeight="1" x14ac:dyDescent="0.25">
      <c r="A39" s="149"/>
      <c r="B39" s="759" t="s">
        <v>70</v>
      </c>
      <c r="C39" s="759"/>
      <c r="D39" s="759" t="s">
        <v>16</v>
      </c>
      <c r="E39" s="760"/>
      <c r="F39" s="25"/>
      <c r="G39" s="149"/>
      <c r="H39" s="759" t="s">
        <v>66</v>
      </c>
      <c r="I39" s="759"/>
      <c r="J39" s="759" t="s">
        <v>16</v>
      </c>
      <c r="K39" s="760"/>
      <c r="L39" s="164"/>
      <c r="M39" s="159"/>
      <c r="N39" s="689" t="s">
        <v>70</v>
      </c>
      <c r="O39" s="689"/>
      <c r="P39" s="689" t="s">
        <v>16</v>
      </c>
      <c r="Q39" s="699"/>
      <c r="R39" s="25"/>
      <c r="S39" s="159"/>
      <c r="T39" s="689" t="s">
        <v>66</v>
      </c>
      <c r="U39" s="689"/>
      <c r="V39" s="689" t="s">
        <v>16</v>
      </c>
      <c r="W39" s="699"/>
    </row>
    <row r="40" spans="1:24" ht="14.45" customHeight="1" x14ac:dyDescent="0.25">
      <c r="A40" s="141">
        <f>S37+$J$33+"00:02"</f>
        <v>0.59722222222222143</v>
      </c>
      <c r="B40" s="142" t="str">
        <f>IF(D36&lt;E36,B36,IF(D36=E36," ",C36))</f>
        <v xml:space="preserve"> </v>
      </c>
      <c r="C40" s="142" t="str">
        <f>IF(J36&lt;K36,H36,IF(J36=K36," ",I36))</f>
        <v xml:space="preserve"> </v>
      </c>
      <c r="D40" s="143"/>
      <c r="E40" s="144"/>
      <c r="F40" s="2"/>
      <c r="G40" s="141">
        <f>A41+$J$33+"00:02"</f>
        <v>0.61111111111111027</v>
      </c>
      <c r="H40" s="142" t="str">
        <f>IF(D36&gt;E36,B36,IF(D36=E36," ",C36))</f>
        <v xml:space="preserve"> </v>
      </c>
      <c r="I40" s="142" t="str">
        <f>IF(J36&gt;K36,H36,IF(J36=K36," ",I36))</f>
        <v xml:space="preserve"> </v>
      </c>
      <c r="J40" s="143"/>
      <c r="K40" s="144"/>
      <c r="L40" s="165"/>
      <c r="M40" s="151">
        <f>G41+$J$33+"00:02"</f>
        <v>0.62499999999999911</v>
      </c>
      <c r="N40" s="152" t="str">
        <f>IF(P36&lt;Q36,N36,IF(P36=Q36," ",O36))</f>
        <v xml:space="preserve"> </v>
      </c>
      <c r="O40" s="152" t="str">
        <f>IF(V36&lt;W36,T36,IF(V36=W36," ",U36))</f>
        <v xml:space="preserve"> </v>
      </c>
      <c r="P40" s="153"/>
      <c r="Q40" s="154"/>
      <c r="R40" s="2"/>
      <c r="S40" s="151">
        <f>M41+$J$33+"00:02"</f>
        <v>0.63888888888888795</v>
      </c>
      <c r="T40" s="152" t="str">
        <f>IF(P36&gt;Q36,N36,IF(P36=Q36," ",O36))</f>
        <v xml:space="preserve"> </v>
      </c>
      <c r="U40" s="152" t="str">
        <f>IF(V36&gt;W36,T36,IF(V36=W36," ",U36))</f>
        <v xml:space="preserve"> </v>
      </c>
      <c r="V40" s="153"/>
      <c r="W40" s="154"/>
    </row>
    <row r="41" spans="1:24" ht="14.45" customHeight="1" thickBot="1" x14ac:dyDescent="0.3">
      <c r="A41" s="145">
        <f>A40+$J$33+"00:02"</f>
        <v>0.60416666666666585</v>
      </c>
      <c r="B41" s="146" t="str">
        <f>IF(D37&lt;E37,B37,IF(D37=E37," ",C37))</f>
        <v xml:space="preserve"> </v>
      </c>
      <c r="C41" s="146" t="str">
        <f>IF(J37&lt;K37,H37,IF(J37=K37," ",I37))</f>
        <v xml:space="preserve"> </v>
      </c>
      <c r="D41" s="147"/>
      <c r="E41" s="148"/>
      <c r="F41" s="2"/>
      <c r="G41" s="145">
        <f>G40+$J$33+"00:02"</f>
        <v>0.61805555555555469</v>
      </c>
      <c r="H41" s="146" t="str">
        <f>IF(D37&gt;E37,B37,IF(D37=E37," ",C37))</f>
        <v xml:space="preserve"> </v>
      </c>
      <c r="I41" s="146" t="str">
        <f>IF(J37&gt;K37,H37,IF(J37=K37," ",I37))</f>
        <v xml:space="preserve"> </v>
      </c>
      <c r="J41" s="147"/>
      <c r="K41" s="148"/>
      <c r="L41" s="165"/>
      <c r="M41" s="155">
        <f>M40+$J$33+"00:02"</f>
        <v>0.63194444444444353</v>
      </c>
      <c r="N41" s="152" t="str">
        <f>IF(P37&lt;Q37,N37,IF(P37=Q37," ",O37))</f>
        <v xml:space="preserve"> </v>
      </c>
      <c r="O41" s="152" t="str">
        <f>IF(V37&lt;W37,T37,IF(V37=W37," ",U37))</f>
        <v xml:space="preserve"> </v>
      </c>
      <c r="P41" s="157"/>
      <c r="Q41" s="158"/>
      <c r="R41" s="2"/>
      <c r="S41" s="155">
        <f>S40+$J$33+"00:02"</f>
        <v>0.64583333333333237</v>
      </c>
      <c r="T41" s="152" t="str">
        <f>IF(P37&gt;Q37,N37,IF(P37=Q37," ",O37))</f>
        <v xml:space="preserve"> </v>
      </c>
      <c r="U41" s="152" t="str">
        <f>IF(V37&gt;W37,T37,IF(V37=W37," ",U37))</f>
        <v xml:space="preserve"> </v>
      </c>
      <c r="V41" s="157"/>
      <c r="W41" s="158"/>
    </row>
    <row r="42" spans="1:24" ht="5.0999999999999996" customHeight="1" thickBot="1" x14ac:dyDescent="0.3">
      <c r="A42" s="19"/>
      <c r="B42" s="2"/>
      <c r="C42" s="2"/>
      <c r="D42" s="46"/>
      <c r="E42" s="46"/>
      <c r="F42" s="2"/>
      <c r="G42" s="2"/>
      <c r="H42" s="2"/>
      <c r="I42" s="47"/>
      <c r="J42" s="46"/>
      <c r="K42" s="48"/>
      <c r="L42" s="165"/>
      <c r="M42" s="19"/>
      <c r="N42" s="2"/>
      <c r="O42" s="2"/>
      <c r="P42" s="46"/>
      <c r="Q42" s="281"/>
      <c r="R42" s="2"/>
      <c r="S42" s="2"/>
      <c r="T42" s="2"/>
      <c r="U42" s="2"/>
      <c r="V42" s="46"/>
      <c r="W42" s="48"/>
    </row>
    <row r="43" spans="1:24" ht="14.45" customHeight="1" x14ac:dyDescent="0.25">
      <c r="A43" s="149"/>
      <c r="B43" s="759" t="s">
        <v>71</v>
      </c>
      <c r="C43" s="759"/>
      <c r="D43" s="759" t="s">
        <v>16</v>
      </c>
      <c r="E43" s="760"/>
      <c r="F43" s="25"/>
      <c r="G43" s="149"/>
      <c r="H43" s="759" t="s">
        <v>68</v>
      </c>
      <c r="I43" s="759"/>
      <c r="J43" s="759" t="s">
        <v>16</v>
      </c>
      <c r="K43" s="760"/>
      <c r="L43" s="164"/>
      <c r="M43" s="159"/>
      <c r="N43" s="689" t="s">
        <v>71</v>
      </c>
      <c r="O43" s="689"/>
      <c r="P43" s="689" t="s">
        <v>16</v>
      </c>
      <c r="Q43" s="699"/>
      <c r="R43" s="25"/>
      <c r="S43" s="159"/>
      <c r="T43" s="689" t="s">
        <v>73</v>
      </c>
      <c r="U43" s="689"/>
      <c r="V43" s="689" t="s">
        <v>16</v>
      </c>
      <c r="W43" s="699"/>
    </row>
    <row r="44" spans="1:24" ht="14.45" customHeight="1" thickBot="1" x14ac:dyDescent="0.3">
      <c r="A44" s="145">
        <f>S41+$J$33+"00:02"</f>
        <v>0.65277777777777679</v>
      </c>
      <c r="B44" s="146" t="str">
        <f>IF(D40&lt;E40,B40,IF(D40=E40," ",C40))</f>
        <v xml:space="preserve"> </v>
      </c>
      <c r="C44" s="146" t="str">
        <f>IF(D41&lt;E41,B41,IF(D41=E41," ",C41))</f>
        <v xml:space="preserve"> </v>
      </c>
      <c r="D44" s="147"/>
      <c r="E44" s="148"/>
      <c r="F44" s="2"/>
      <c r="G44" s="145">
        <f>A44+$J$33+"00:02"</f>
        <v>0.65972222222222121</v>
      </c>
      <c r="H44" s="146" t="str">
        <f>IF(D40&gt;E40,B40,IF(D40=E40," ",C40))</f>
        <v xml:space="preserve"> </v>
      </c>
      <c r="I44" s="146" t="str">
        <f>IF(D41&gt;E41,B41,IF(D41=E41," ",C41))</f>
        <v xml:space="preserve"> </v>
      </c>
      <c r="J44" s="147"/>
      <c r="K44" s="148"/>
      <c r="L44" s="165"/>
      <c r="M44" s="155">
        <f>G44+$J$33+"00:02"</f>
        <v>0.66666666666666563</v>
      </c>
      <c r="N44" s="156" t="str">
        <f>IF(P40&lt;Q40,N40,IF(P40=Q40," ",O40))</f>
        <v xml:space="preserve"> </v>
      </c>
      <c r="O44" s="156" t="str">
        <f>IF(P41&lt;Q41,N41,IF(P41=Q41," ",O41))</f>
        <v xml:space="preserve"> </v>
      </c>
      <c r="P44" s="157"/>
      <c r="Q44" s="158"/>
      <c r="R44" s="2"/>
      <c r="S44" s="155">
        <f>M44+$J$33+"00:02"</f>
        <v>0.67361111111111005</v>
      </c>
      <c r="T44" s="156" t="str">
        <f>IF(P40&gt;Q40,N40,IF(P40=Q40," ",O40))</f>
        <v xml:space="preserve"> </v>
      </c>
      <c r="U44" s="156" t="str">
        <f>IF(P41&gt;Q41,N41,IF(P41=Q41," ",O41))</f>
        <v xml:space="preserve"> </v>
      </c>
      <c r="V44" s="157"/>
      <c r="W44" s="158"/>
    </row>
    <row r="45" spans="1:24" ht="5.0999999999999996" customHeight="1" thickBot="1" x14ac:dyDescent="0.3">
      <c r="A45" s="163"/>
      <c r="B45" s="138"/>
      <c r="C45" s="138"/>
      <c r="D45" s="161"/>
      <c r="E45" s="161"/>
      <c r="F45" s="85"/>
      <c r="G45" s="137"/>
      <c r="H45" s="138"/>
      <c r="I45" s="138"/>
      <c r="J45" s="161"/>
      <c r="K45" s="162"/>
      <c r="L45" s="165"/>
      <c r="M45" s="163"/>
      <c r="N45" s="138"/>
      <c r="O45" s="138"/>
      <c r="P45" s="161"/>
      <c r="Q45" s="161"/>
      <c r="R45" s="85"/>
      <c r="S45" s="137"/>
      <c r="T45" s="138"/>
      <c r="U45" s="138"/>
      <c r="V45" s="161"/>
      <c r="W45" s="162"/>
    </row>
    <row r="46" spans="1:24" ht="14.45" customHeight="1" x14ac:dyDescent="0.25">
      <c r="A46" s="149"/>
      <c r="B46" s="759" t="s">
        <v>67</v>
      </c>
      <c r="C46" s="759"/>
      <c r="D46" s="759" t="s">
        <v>16</v>
      </c>
      <c r="E46" s="760"/>
      <c r="F46" s="25"/>
      <c r="G46" s="149"/>
      <c r="H46" s="759" t="s">
        <v>72</v>
      </c>
      <c r="I46" s="759"/>
      <c r="J46" s="759" t="s">
        <v>16</v>
      </c>
      <c r="K46" s="760"/>
      <c r="L46" s="164"/>
      <c r="M46" s="159"/>
      <c r="N46" s="689" t="s">
        <v>67</v>
      </c>
      <c r="O46" s="689"/>
      <c r="P46" s="689" t="s">
        <v>16</v>
      </c>
      <c r="Q46" s="699"/>
      <c r="R46" s="25"/>
      <c r="S46" s="159"/>
      <c r="T46" s="689" t="s">
        <v>72</v>
      </c>
      <c r="U46" s="689"/>
      <c r="V46" s="689" t="s">
        <v>16</v>
      </c>
      <c r="W46" s="699"/>
    </row>
    <row r="47" spans="1:24" ht="14.45" customHeight="1" thickBot="1" x14ac:dyDescent="0.3">
      <c r="A47" s="145">
        <f>S44+$J$33+"00:02"</f>
        <v>0.68055555555555447</v>
      </c>
      <c r="B47" s="146" t="str">
        <f>IF(J40&lt;K40,H40,IF(J40=K40," ",I40))</f>
        <v xml:space="preserve"> </v>
      </c>
      <c r="C47" s="146" t="str">
        <f>IF(J41&lt;K41,H41,IF(J41=K41," ",I41))</f>
        <v xml:space="preserve"> </v>
      </c>
      <c r="D47" s="147"/>
      <c r="E47" s="148"/>
      <c r="F47" s="47"/>
      <c r="G47" s="145">
        <f>A47+$J$33+"00:02"</f>
        <v>0.68749999999999889</v>
      </c>
      <c r="H47" s="146" t="str">
        <f>IF(J40&gt;K40,H40,IF(J40=K40," ",I40))</f>
        <v xml:space="preserve"> </v>
      </c>
      <c r="I47" s="146" t="str">
        <f>IF(J41&gt;K41,H41,IF(J41=K41," ",I41))</f>
        <v xml:space="preserve"> </v>
      </c>
      <c r="J47" s="147"/>
      <c r="K47" s="148"/>
      <c r="L47" s="166"/>
      <c r="M47" s="155">
        <f>G47+$J$33+"00:02"</f>
        <v>0.69444444444444331</v>
      </c>
      <c r="N47" s="156" t="str">
        <f>IF(V40&lt;W40,T40,IF(V40=W40," ",U40))</f>
        <v xml:space="preserve"> </v>
      </c>
      <c r="O47" s="156" t="str">
        <f>IF(V41&lt;W41,T41,IF(V41=W41," ",U41))</f>
        <v xml:space="preserve"> </v>
      </c>
      <c r="P47" s="157"/>
      <c r="Q47" s="158"/>
      <c r="R47" s="47"/>
      <c r="S47" s="155">
        <f>M47+$J$33+"00:02"</f>
        <v>0.70138888888888773</v>
      </c>
      <c r="T47" s="156" t="str">
        <f>IF(V40&gt;W40,T40,IF(V40=W40," ",U40))</f>
        <v xml:space="preserve"> </v>
      </c>
      <c r="U47" s="156" t="str">
        <f>IF(V41&gt;W41,T41,IF(V41=W41," ",U41))</f>
        <v xml:space="preserve"> </v>
      </c>
      <c r="V47" s="157"/>
      <c r="W47" s="158"/>
    </row>
    <row r="48" spans="1:24" ht="5.0999999999999996" customHeight="1" thickBot="1" x14ac:dyDescent="0.3">
      <c r="A48" s="118"/>
      <c r="B48" s="119"/>
      <c r="C48" s="119"/>
      <c r="D48" s="173"/>
      <c r="E48" s="173"/>
      <c r="F48" s="89"/>
      <c r="G48" s="120"/>
      <c r="H48" s="119"/>
      <c r="I48" s="119"/>
      <c r="J48" s="173"/>
      <c r="K48" s="173"/>
      <c r="L48" s="89"/>
      <c r="M48" s="120"/>
      <c r="N48" s="119"/>
      <c r="O48" s="119"/>
      <c r="P48" s="173"/>
      <c r="Q48" s="173"/>
      <c r="R48" s="89"/>
      <c r="S48" s="93"/>
      <c r="T48" s="115"/>
      <c r="U48" s="115"/>
      <c r="V48" s="116"/>
      <c r="W48" s="117"/>
    </row>
    <row r="49" spans="1:24" ht="14.45" customHeight="1" thickBot="1" x14ac:dyDescent="0.3">
      <c r="A49" s="702" t="s">
        <v>47</v>
      </c>
      <c r="B49" s="673"/>
      <c r="C49" s="673"/>
      <c r="D49" s="673"/>
      <c r="E49" s="673"/>
      <c r="F49" s="673"/>
      <c r="G49" s="673"/>
      <c r="H49" s="673"/>
      <c r="I49" s="673"/>
      <c r="J49" s="673"/>
      <c r="K49" s="673"/>
      <c r="L49" s="673"/>
      <c r="M49" s="673"/>
      <c r="N49" s="673"/>
      <c r="O49" s="673"/>
      <c r="P49" s="673"/>
      <c r="Q49" s="673"/>
      <c r="R49" s="673"/>
      <c r="S49" s="673"/>
      <c r="T49" s="762"/>
      <c r="U49" s="762"/>
      <c r="V49" s="762"/>
      <c r="W49" s="763"/>
    </row>
    <row r="50" spans="1:24" ht="14.45" customHeight="1" thickBot="1" x14ac:dyDescent="0.3">
      <c r="A50" s="160">
        <v>1</v>
      </c>
      <c r="B50" s="756" t="str">
        <f>IF(V47&gt;W47,T47,IF(V47=W47," ",U47))</f>
        <v xml:space="preserve"> </v>
      </c>
      <c r="C50" s="757"/>
      <c r="D50" s="757"/>
      <c r="E50" s="757"/>
      <c r="F50" s="758"/>
      <c r="G50" s="160">
        <v>5</v>
      </c>
      <c r="H50" s="756" t="str">
        <f>IF(V44&gt;W44,T44,IF(V44=W44," ",U44))</f>
        <v xml:space="preserve"> </v>
      </c>
      <c r="I50" s="757"/>
      <c r="J50" s="757"/>
      <c r="K50" s="757"/>
      <c r="L50" s="758"/>
      <c r="M50" s="160">
        <v>9</v>
      </c>
      <c r="N50" s="756" t="str">
        <f>IF(J47&gt;K47,H47,IF(J47=K47," ",I47))</f>
        <v xml:space="preserve"> </v>
      </c>
      <c r="O50" s="757"/>
      <c r="P50" s="757"/>
      <c r="Q50" s="757"/>
      <c r="R50" s="758"/>
      <c r="S50" s="169">
        <v>13</v>
      </c>
      <c r="T50" s="764" t="str">
        <f>IF(J44&gt;K44,H44,IF(J44=K44," ",I44))</f>
        <v xml:space="preserve"> </v>
      </c>
      <c r="U50" s="765"/>
      <c r="V50" s="765"/>
      <c r="W50" s="766"/>
      <c r="X50" s="172"/>
    </row>
    <row r="51" spans="1:24" ht="14.45" customHeight="1" thickBot="1" x14ac:dyDescent="0.3">
      <c r="A51" s="49">
        <v>2</v>
      </c>
      <c r="B51" s="750" t="str">
        <f>IF(V47&lt;W47,T47,IF(V47=W47," ",U47))</f>
        <v xml:space="preserve"> </v>
      </c>
      <c r="C51" s="751"/>
      <c r="D51" s="751"/>
      <c r="E51" s="751"/>
      <c r="F51" s="752"/>
      <c r="G51" s="49">
        <v>6</v>
      </c>
      <c r="H51" s="750" t="str">
        <f>IF(V44&lt;W44,T44,IF(V44=W44," ",U44))</f>
        <v xml:space="preserve"> </v>
      </c>
      <c r="I51" s="751"/>
      <c r="J51" s="751"/>
      <c r="K51" s="751"/>
      <c r="L51" s="752"/>
      <c r="M51" s="49">
        <v>10</v>
      </c>
      <c r="N51" s="750" t="str">
        <f>IF(J47&lt;K47,H47,IF(J47=K47," ",I47))</f>
        <v xml:space="preserve"> </v>
      </c>
      <c r="O51" s="751"/>
      <c r="P51" s="751"/>
      <c r="Q51" s="751"/>
      <c r="R51" s="752"/>
      <c r="S51" s="170">
        <v>14</v>
      </c>
      <c r="T51" s="764" t="str">
        <f>IF(J44&lt;K44,H44,IF(J44=K44," ",I44))</f>
        <v xml:space="preserve"> </v>
      </c>
      <c r="U51" s="765"/>
      <c r="V51" s="765"/>
      <c r="W51" s="766"/>
      <c r="X51" s="172"/>
    </row>
    <row r="52" spans="1:24" ht="14.45" customHeight="1" thickBot="1" x14ac:dyDescent="0.3">
      <c r="A52" s="49">
        <v>3</v>
      </c>
      <c r="B52" s="750" t="str">
        <f>IF(P47&gt;Q47,N47,IF(P47=Q47," ",O47))</f>
        <v xml:space="preserve"> </v>
      </c>
      <c r="C52" s="751"/>
      <c r="D52" s="751"/>
      <c r="E52" s="751"/>
      <c r="F52" s="752"/>
      <c r="G52" s="49">
        <v>7</v>
      </c>
      <c r="H52" s="750" t="str">
        <f>IF(P44&gt;Q44,N44,IF(P44=Q44," ",O44))</f>
        <v xml:space="preserve"> </v>
      </c>
      <c r="I52" s="751"/>
      <c r="J52" s="751"/>
      <c r="K52" s="751"/>
      <c r="L52" s="752"/>
      <c r="M52" s="49">
        <v>11</v>
      </c>
      <c r="N52" s="750" t="str">
        <f>IF(D47&gt;E47,B47,IF(D47=E47," ",C47))</f>
        <v xml:space="preserve"> </v>
      </c>
      <c r="O52" s="751"/>
      <c r="P52" s="751"/>
      <c r="Q52" s="751"/>
      <c r="R52" s="752"/>
      <c r="S52" s="170">
        <v>15</v>
      </c>
      <c r="T52" s="764" t="str">
        <f>IF(D44&gt;E44,B44,IF(D44=E44," ",C44))</f>
        <v xml:space="preserve"> </v>
      </c>
      <c r="U52" s="765"/>
      <c r="V52" s="765"/>
      <c r="W52" s="766"/>
      <c r="X52" s="172"/>
    </row>
    <row r="53" spans="1:24" ht="14.45" customHeight="1" thickBot="1" x14ac:dyDescent="0.3">
      <c r="A53" s="50">
        <v>4</v>
      </c>
      <c r="B53" s="753" t="str">
        <f>IF(P47&lt;Q47,N47,IF(P47=Q47," ",O47))</f>
        <v xml:space="preserve"> </v>
      </c>
      <c r="C53" s="754"/>
      <c r="D53" s="754"/>
      <c r="E53" s="754"/>
      <c r="F53" s="755"/>
      <c r="G53" s="50">
        <v>8</v>
      </c>
      <c r="H53" s="753" t="str">
        <f>IF(P44&lt;Q44,N44,IF(P44=Q44," ",O44))</f>
        <v xml:space="preserve"> </v>
      </c>
      <c r="I53" s="754"/>
      <c r="J53" s="754"/>
      <c r="K53" s="754"/>
      <c r="L53" s="755"/>
      <c r="M53" s="50">
        <v>12</v>
      </c>
      <c r="N53" s="753" t="str">
        <f>IF(D47&lt;E47,B47,IF(D47=E47," ",C47))</f>
        <v xml:space="preserve"> </v>
      </c>
      <c r="O53" s="754"/>
      <c r="P53" s="754"/>
      <c r="Q53" s="754"/>
      <c r="R53" s="755"/>
      <c r="S53" s="171">
        <v>16</v>
      </c>
      <c r="T53" s="764" t="str">
        <f>IF(D44&lt;E44,B44,IF(D44=E44," ",C44))</f>
        <v xml:space="preserve"> </v>
      </c>
      <c r="U53" s="765"/>
      <c r="V53" s="765"/>
      <c r="W53" s="766"/>
      <c r="X53" s="172"/>
    </row>
    <row r="54" spans="1:24" ht="15" customHeight="1" thickBot="1" x14ac:dyDescent="0.3">
      <c r="A54" s="768" t="s">
        <v>34</v>
      </c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769"/>
      <c r="U54" s="769"/>
      <c r="V54" s="769"/>
      <c r="W54" s="770"/>
    </row>
    <row r="55" spans="1:24" s="2" customFormat="1" x14ac:dyDescent="0.25">
      <c r="A55" s="771" t="s">
        <v>111</v>
      </c>
      <c r="B55" s="771"/>
      <c r="C55" s="771"/>
      <c r="D55" s="771"/>
      <c r="E55" s="771"/>
      <c r="F55" s="771"/>
      <c r="G55" s="771"/>
      <c r="H55" s="771"/>
      <c r="I55" s="771"/>
      <c r="J55" s="771"/>
      <c r="K55" s="771"/>
      <c r="L55" s="771"/>
      <c r="M55" s="771"/>
      <c r="N55" s="771"/>
      <c r="O55" s="771"/>
      <c r="P55" s="771"/>
      <c r="Q55" s="771"/>
      <c r="R55" s="771"/>
      <c r="S55" s="771"/>
      <c r="T55" s="771"/>
      <c r="U55" s="771"/>
      <c r="V55" s="771"/>
      <c r="W55" s="771"/>
    </row>
    <row r="56" spans="1:24" s="2" customFormat="1" ht="15.75" hidden="1" thickBot="1" x14ac:dyDescent="0.3"/>
    <row r="57" spans="1:24" ht="16.5" hidden="1" thickBot="1" x14ac:dyDescent="0.3">
      <c r="A57" s="670" t="s">
        <v>49</v>
      </c>
      <c r="B57" s="671"/>
      <c r="C57" s="671"/>
      <c r="D57" s="671"/>
      <c r="E57" s="671"/>
      <c r="F57" s="671"/>
      <c r="G57" s="671"/>
      <c r="H57" s="671"/>
      <c r="I57" s="671"/>
      <c r="J57" s="671"/>
      <c r="K57" s="671"/>
      <c r="L57" s="671"/>
      <c r="M57" s="671"/>
      <c r="N57" s="671"/>
      <c r="O57" s="671"/>
      <c r="P57" s="671"/>
      <c r="Q57" s="671"/>
      <c r="R57" s="671"/>
      <c r="S57" s="671"/>
      <c r="T57" s="671"/>
      <c r="U57" s="671"/>
      <c r="V57" s="671"/>
      <c r="W57" s="672"/>
    </row>
    <row r="58" spans="1:24" ht="14.45" hidden="1" customHeight="1" x14ac:dyDescent="0.25">
      <c r="A58" s="96"/>
      <c r="B58" s="711" t="s">
        <v>1</v>
      </c>
      <c r="C58" s="711"/>
      <c r="D58" s="711" t="s">
        <v>15</v>
      </c>
      <c r="E58" s="772"/>
      <c r="F58" s="773"/>
      <c r="G58" s="121"/>
      <c r="H58" s="711" t="s">
        <v>2</v>
      </c>
      <c r="I58" s="711"/>
      <c r="J58" s="711" t="s">
        <v>15</v>
      </c>
      <c r="K58" s="772"/>
      <c r="L58" s="75"/>
      <c r="M58" s="121"/>
      <c r="N58" s="711" t="s">
        <v>3</v>
      </c>
      <c r="O58" s="711"/>
      <c r="P58" s="711" t="s">
        <v>15</v>
      </c>
      <c r="Q58" s="772"/>
      <c r="R58" s="122"/>
      <c r="S58" s="96"/>
      <c r="T58" s="711" t="s">
        <v>4</v>
      </c>
      <c r="U58" s="711"/>
      <c r="V58" s="711" t="s">
        <v>15</v>
      </c>
      <c r="W58" s="712"/>
    </row>
    <row r="59" spans="1:24" ht="14.45" hidden="1" customHeight="1" x14ac:dyDescent="0.25">
      <c r="A59" s="86">
        <f>RANK(D59,$D$59:$D$62)</f>
        <v>1</v>
      </c>
      <c r="B59" s="69" t="str">
        <f>B8</f>
        <v>Equipe 1</v>
      </c>
      <c r="C59" s="69">
        <f>D14-E14+D18-E18+D22-E22</f>
        <v>0</v>
      </c>
      <c r="D59" s="681">
        <f>D8+4/10000000</f>
        <v>3.9999999999999998E-7</v>
      </c>
      <c r="E59" s="767"/>
      <c r="F59" s="774"/>
      <c r="G59" s="91">
        <f>RANK(J59,$J$59:$J$62)</f>
        <v>1</v>
      </c>
      <c r="H59" s="69" t="str">
        <f>H8</f>
        <v>Equipe 5</v>
      </c>
      <c r="I59" s="69">
        <f>J14-K14+J18-K18+J22-K22</f>
        <v>0</v>
      </c>
      <c r="J59" s="681">
        <f>J8+4/10000000</f>
        <v>3.9999999999999998E-7</v>
      </c>
      <c r="K59" s="767"/>
      <c r="L59" s="76"/>
      <c r="M59" s="91">
        <f>RANK(P59,$P$59:$P$62)</f>
        <v>1</v>
      </c>
      <c r="N59" s="69" t="str">
        <f>N8</f>
        <v>Equipe 9</v>
      </c>
      <c r="O59" s="69">
        <f>P14-Q14+P18-Q18+P22-Q22</f>
        <v>0</v>
      </c>
      <c r="P59" s="681">
        <f>P8+4/10000000</f>
        <v>3.9999999999999998E-7</v>
      </c>
      <c r="Q59" s="767"/>
      <c r="R59" s="105"/>
      <c r="S59" s="86">
        <f>RANK(V59,$V$59:$V$62)</f>
        <v>1</v>
      </c>
      <c r="T59" s="69" t="str">
        <f>T8</f>
        <v>Equipe 13</v>
      </c>
      <c r="U59" s="69">
        <f>V14-W14+V18-W18+V22-W22</f>
        <v>0</v>
      </c>
      <c r="V59" s="681">
        <f>V8+4/10000000</f>
        <v>3.9999999999999998E-7</v>
      </c>
      <c r="W59" s="682"/>
    </row>
    <row r="60" spans="1:24" ht="14.45" hidden="1" customHeight="1" x14ac:dyDescent="0.25">
      <c r="A60" s="86">
        <f t="shared" ref="A60:A62" si="0">RANK(D60,$D$59:$D$62)</f>
        <v>2</v>
      </c>
      <c r="B60" s="69" t="str">
        <f>B9</f>
        <v>Equipe 2</v>
      </c>
      <c r="C60" s="69">
        <f>E14-D14+D19-E19+D23-E23</f>
        <v>0</v>
      </c>
      <c r="D60" s="681">
        <f>D9+3/10000000</f>
        <v>2.9999999999999999E-7</v>
      </c>
      <c r="E60" s="767"/>
      <c r="F60" s="774"/>
      <c r="G60" s="91">
        <f t="shared" ref="G60:G62" si="1">RANK(J60,$J$59:$J$62)</f>
        <v>2</v>
      </c>
      <c r="H60" s="69" t="str">
        <f>H9</f>
        <v>Equipe 6</v>
      </c>
      <c r="I60" s="69">
        <f>K14-J14+J19-K19+J23-K23</f>
        <v>0</v>
      </c>
      <c r="J60" s="681">
        <f>J9+3/10000000</f>
        <v>2.9999999999999999E-7</v>
      </c>
      <c r="K60" s="767"/>
      <c r="L60" s="76"/>
      <c r="M60" s="91">
        <f t="shared" ref="M60:M62" si="2">RANK(P60,$P$59:$P$62)</f>
        <v>2</v>
      </c>
      <c r="N60" s="69" t="str">
        <f>N9</f>
        <v>Equipe 10</v>
      </c>
      <c r="O60" s="69">
        <f>Q14-P14+P19-Q19+P23-Q23</f>
        <v>0</v>
      </c>
      <c r="P60" s="681">
        <f>P9+3/10000000</f>
        <v>2.9999999999999999E-7</v>
      </c>
      <c r="Q60" s="767"/>
      <c r="R60" s="105"/>
      <c r="S60" s="86">
        <f t="shared" ref="S60:S62" si="3">RANK(V60,$V$59:$V$62)</f>
        <v>2</v>
      </c>
      <c r="T60" s="69" t="str">
        <f>T9</f>
        <v>Equipe 14</v>
      </c>
      <c r="U60" s="69">
        <f>W14-V14+V19-W19+V23-W23</f>
        <v>0</v>
      </c>
      <c r="V60" s="681">
        <f>V9+3/10000000</f>
        <v>2.9999999999999999E-7</v>
      </c>
      <c r="W60" s="682"/>
    </row>
    <row r="61" spans="1:24" ht="14.45" hidden="1" customHeight="1" x14ac:dyDescent="0.25">
      <c r="A61" s="86">
        <f t="shared" si="0"/>
        <v>3</v>
      </c>
      <c r="B61" s="69" t="str">
        <f>B10</f>
        <v>Equipe 3</v>
      </c>
      <c r="C61" s="69">
        <f>D15-E15+E18-D18+E23-D23</f>
        <v>0</v>
      </c>
      <c r="D61" s="681">
        <f>D10+2/10000000</f>
        <v>1.9999999999999999E-7</v>
      </c>
      <c r="E61" s="767"/>
      <c r="F61" s="774"/>
      <c r="G61" s="91">
        <f t="shared" si="1"/>
        <v>3</v>
      </c>
      <c r="H61" s="69" t="str">
        <f>H10</f>
        <v>Equipe 7</v>
      </c>
      <c r="I61" s="69">
        <f>J15-K15+K18-J18+K23-J23</f>
        <v>0</v>
      </c>
      <c r="J61" s="681">
        <f>J10+2/10000000</f>
        <v>1.9999999999999999E-7</v>
      </c>
      <c r="K61" s="767"/>
      <c r="L61" s="76"/>
      <c r="M61" s="91">
        <f t="shared" si="2"/>
        <v>3</v>
      </c>
      <c r="N61" s="69" t="str">
        <f>N10</f>
        <v>Equipe 11</v>
      </c>
      <c r="O61" s="69">
        <f>P15-Q15+Q18-P18+Q23-P23</f>
        <v>0</v>
      </c>
      <c r="P61" s="681">
        <f>P10+2/10000000</f>
        <v>1.9999999999999999E-7</v>
      </c>
      <c r="Q61" s="767"/>
      <c r="R61" s="105"/>
      <c r="S61" s="86">
        <f t="shared" si="3"/>
        <v>3</v>
      </c>
      <c r="T61" s="69" t="str">
        <f>T10</f>
        <v>Equipe 15</v>
      </c>
      <c r="U61" s="69">
        <f>V15-W15+W18-V18+W23-V23</f>
        <v>0</v>
      </c>
      <c r="V61" s="681">
        <f>V10+2/10000000</f>
        <v>1.9999999999999999E-7</v>
      </c>
      <c r="W61" s="682"/>
    </row>
    <row r="62" spans="1:24" ht="14.45" hidden="1" customHeight="1" thickBot="1" x14ac:dyDescent="0.3">
      <c r="A62" s="87">
        <f t="shared" si="0"/>
        <v>4</v>
      </c>
      <c r="B62" s="88" t="str">
        <f>B11</f>
        <v>Equipe 4</v>
      </c>
      <c r="C62" s="88">
        <f>E15-D15+E19-D19+E22-D22</f>
        <v>0</v>
      </c>
      <c r="D62" s="709">
        <f>D11+1/10000000</f>
        <v>9.9999999999999995E-8</v>
      </c>
      <c r="E62" s="761"/>
      <c r="F62" s="775"/>
      <c r="G62" s="92">
        <f t="shared" si="1"/>
        <v>4</v>
      </c>
      <c r="H62" s="88" t="str">
        <f>H11</f>
        <v>Equipe 8</v>
      </c>
      <c r="I62" s="88">
        <f>K15-J15+K19-J19+K22-J22</f>
        <v>0</v>
      </c>
      <c r="J62" s="709">
        <f>J11+1/10000000</f>
        <v>9.9999999999999995E-8</v>
      </c>
      <c r="K62" s="761"/>
      <c r="L62" s="78"/>
      <c r="M62" s="92">
        <f t="shared" si="2"/>
        <v>4</v>
      </c>
      <c r="N62" s="88" t="str">
        <f>N11</f>
        <v>Equipe 12</v>
      </c>
      <c r="O62" s="88">
        <f>Q15-P15+Q19-P19+Q22-P22</f>
        <v>0</v>
      </c>
      <c r="P62" s="709">
        <f>P11+1/10000000</f>
        <v>9.9999999999999995E-8</v>
      </c>
      <c r="Q62" s="761"/>
      <c r="R62" s="123"/>
      <c r="S62" s="87">
        <f t="shared" si="3"/>
        <v>4</v>
      </c>
      <c r="T62" s="88" t="str">
        <f>T11</f>
        <v>Equipe 16</v>
      </c>
      <c r="U62" s="88">
        <f>W15-V15+W19-V19+W22-V22</f>
        <v>0</v>
      </c>
      <c r="V62" s="709">
        <f>V11+1/10000000</f>
        <v>9.9999999999999995E-8</v>
      </c>
      <c r="W62" s="710"/>
    </row>
    <row r="63" spans="1:24" hidden="1" x14ac:dyDescent="0.25">
      <c r="A63" s="700"/>
      <c r="B63" s="700"/>
      <c r="C63" s="700"/>
      <c r="D63" s="700"/>
      <c r="E63" s="700"/>
      <c r="F63" s="700"/>
      <c r="G63" s="700"/>
      <c r="H63" s="700"/>
      <c r="I63" s="700"/>
      <c r="J63" s="700"/>
      <c r="K63" s="700"/>
      <c r="L63" s="700"/>
      <c r="M63" s="700"/>
      <c r="N63" s="700"/>
      <c r="O63" s="700"/>
      <c r="P63" s="700"/>
      <c r="Q63" s="700"/>
    </row>
    <row r="64" spans="1:24" hidden="1" x14ac:dyDescent="0.25">
      <c r="A64" s="1">
        <f>IF(D14="",0,(IF(D14&gt;E14,3,IF(D14=E14,1,0))))</f>
        <v>0</v>
      </c>
      <c r="B64" s="1">
        <f>IF(E14="",0,(IF(E14&gt;D14,3,IF(E14=D14,1,0))))</f>
        <v>0</v>
      </c>
      <c r="G64" s="1">
        <f>IF(J14="",0,(IF(J14&gt;K14,3,IF(J14=K14,1,0))))</f>
        <v>0</v>
      </c>
      <c r="H64" s="1">
        <f>IF(K14="",0,(IF(K14&gt;J14,3,IF(K14=J14,1,0))))</f>
        <v>0</v>
      </c>
      <c r="M64" s="1">
        <f>IF(P14="",0,(IF(P14&gt;Q14,3,IF(P14=Q14,1,0))))</f>
        <v>0</v>
      </c>
      <c r="N64" s="1">
        <f>IF(Q14="",0,(IF(Q14&gt;P14,3,IF(Q14=P14,1,0))))</f>
        <v>0</v>
      </c>
      <c r="S64" s="1">
        <f>IF(V14="",0,(IF(V14&gt;W14,3,IF(V14=W14,1,0))))</f>
        <v>0</v>
      </c>
      <c r="T64" s="1">
        <f>IF(W14="",0,(IF(W14&gt;V14,3,IF(W14=V14,1,0))))</f>
        <v>0</v>
      </c>
    </row>
    <row r="65" spans="1:20" hidden="1" x14ac:dyDescent="0.25">
      <c r="A65" s="1">
        <f>IF(D15="",0,(IF(D15&gt;E15,3,IF(D15=E15,1,0))))</f>
        <v>0</v>
      </c>
      <c r="B65" s="1">
        <f>IF(E15="",0,(IF(E15&gt;D15,3,IF(E15=D15,1,0))))</f>
        <v>0</v>
      </c>
      <c r="G65" s="1">
        <f>IF(J15="",0,(IF(J15&gt;K15,3,IF(J15=K15,1,0))))</f>
        <v>0</v>
      </c>
      <c r="H65" s="1">
        <f>IF(K15="",0,(IF(K15&gt;J15,3,IF(K15=J15,1,0))))</f>
        <v>0</v>
      </c>
      <c r="M65" s="1">
        <f>IF(P15="",0,(IF(P15&gt;Q15,3,IF(P15=Q15,1,0))))</f>
        <v>0</v>
      </c>
      <c r="N65" s="1">
        <f>IF(Q15="",0,(IF(Q15&gt;P15,3,IF(Q15=P15,1,0))))</f>
        <v>0</v>
      </c>
      <c r="S65" s="1">
        <f>IF(V15="",0,(IF(V15&gt;W15,3,IF(V15=W15,1,0))))</f>
        <v>0</v>
      </c>
      <c r="T65" s="1">
        <f>IF(W15="",0,(IF(W15&gt;V15,3,IF(W15=V15,1,0))))</f>
        <v>0</v>
      </c>
    </row>
    <row r="66" spans="1:20" hidden="1" x14ac:dyDescent="0.25"/>
    <row r="67" spans="1:20" hidden="1" x14ac:dyDescent="0.25"/>
    <row r="68" spans="1:20" hidden="1" x14ac:dyDescent="0.25">
      <c r="A68" s="1">
        <f>IF(D18="",0,(IF(D18&gt;E18,3,IF(D18=E18,1,0))))</f>
        <v>0</v>
      </c>
      <c r="B68" s="1">
        <f>IF(E18="",0,(IF(E18&gt;D18,3,IF(E18=D18,1,0))))</f>
        <v>0</v>
      </c>
      <c r="G68" s="1">
        <f>IF(J18="",0,(IF(J18&gt;K18,3,IF(J18=K18,1,0))))</f>
        <v>0</v>
      </c>
      <c r="H68" s="1">
        <f>IF(K18="",0,(IF(K18&gt;J18,3,IF(K18=J18,1,0))))</f>
        <v>0</v>
      </c>
      <c r="M68" s="1">
        <f>IF(P18="",0,(IF(P18&gt;Q18,3,IF(P18=Q18,1,0))))</f>
        <v>0</v>
      </c>
      <c r="N68" s="1">
        <f>IF(Q18="",0,(IF(Q18&gt;P18,3,IF(Q18=P18,1,0))))</f>
        <v>0</v>
      </c>
      <c r="S68" s="1">
        <f>IF(V18="",0,(IF(V18&gt;W18,3,IF(V18=W18,1,0))))</f>
        <v>0</v>
      </c>
      <c r="T68" s="1">
        <f>IF(W18="",0,(IF(W18&gt;V18,3,IF(W18=V18,1,0))))</f>
        <v>0</v>
      </c>
    </row>
    <row r="69" spans="1:20" hidden="1" x14ac:dyDescent="0.25">
      <c r="A69" s="1">
        <f>IF(D19="",0,(IF(D19&gt;E19,3,IF(D19=E19,1,0))))</f>
        <v>0</v>
      </c>
      <c r="B69" s="1">
        <f>IF(E19="",0,(IF(E19&gt;D19,3,IF(E19=D19,1,0))))</f>
        <v>0</v>
      </c>
      <c r="G69" s="1">
        <f>IF(J19="",0,(IF(J19&gt;K19,3,IF(J19=K19,1,0))))</f>
        <v>0</v>
      </c>
      <c r="H69" s="1">
        <f>IF(K19="",0,(IF(K19&gt;J19,3,IF(K19=J19,1,0))))</f>
        <v>0</v>
      </c>
      <c r="M69" s="1">
        <f>IF(P19="",0,(IF(P19&gt;Q19,3,IF(P19=Q19,1,0))))</f>
        <v>0</v>
      </c>
      <c r="N69" s="1">
        <f>IF(Q19="",0,(IF(Q19&gt;P19,3,IF(Q19=P19,1,0))))</f>
        <v>0</v>
      </c>
      <c r="S69" s="1">
        <f>IF(V19="",0,(IF(V19&gt;W19,3,IF(V19=W19,1,0))))</f>
        <v>0</v>
      </c>
      <c r="T69" s="1">
        <f>IF(W19="",0,(IF(W19&gt;V19,3,IF(W19=V19,1,0))))</f>
        <v>0</v>
      </c>
    </row>
    <row r="70" spans="1:20" hidden="1" x14ac:dyDescent="0.25"/>
    <row r="71" spans="1:20" hidden="1" x14ac:dyDescent="0.25"/>
    <row r="72" spans="1:20" hidden="1" x14ac:dyDescent="0.25">
      <c r="A72" s="1">
        <f>IF(D22="",0,(IF(D22&gt;E22,3,IF(D22=E22,1,0))))</f>
        <v>0</v>
      </c>
      <c r="B72" s="1">
        <f>IF(E22="",0,(IF(E22&gt;D22,3,IF(E22=D22,1,0))))</f>
        <v>0</v>
      </c>
      <c r="G72" s="1">
        <f>IF(J22="",0,(IF(J22&gt;K22,3,IF(J22=K22,1,0))))</f>
        <v>0</v>
      </c>
      <c r="H72" s="1">
        <f>IF(K22="",0,(IF(K22&gt;J22,3,IF(K22=J22,1,0))))</f>
        <v>0</v>
      </c>
      <c r="M72" s="1">
        <f>IF(P22="",0,(IF(P22&gt;Q22,3,IF(P22=Q22,1,0))))</f>
        <v>0</v>
      </c>
      <c r="N72" s="1">
        <f>IF(Q22="",0,(IF(Q22&gt;P22,3,IF(Q22=P22,1,0))))</f>
        <v>0</v>
      </c>
      <c r="S72" s="1">
        <f>IF(V22="",0,(IF(V22&gt;W22,3,IF(V22=W22,1,0))))</f>
        <v>0</v>
      </c>
      <c r="T72" s="1">
        <f>IF(W22="",0,(IF(W22&gt;V22,3,IF(W22=V22,1,0))))</f>
        <v>0</v>
      </c>
    </row>
    <row r="73" spans="1:20" hidden="1" x14ac:dyDescent="0.25">
      <c r="A73" s="1">
        <f>IF(D23="",0,(IF(D23&gt;E23,3,IF(D23=E23,1,0))))</f>
        <v>0</v>
      </c>
      <c r="B73" s="1">
        <f>IF(E23="",0,(IF(E23&gt;D23,3,IF(E23=D23,1,0))))</f>
        <v>0</v>
      </c>
      <c r="G73" s="1">
        <f>IF(J23="",0,(IF(J23&gt;K23,3,IF(J23=K23,1,0))))</f>
        <v>0</v>
      </c>
      <c r="H73" s="1">
        <f>IF(K23="",0,(IF(K23&gt;J23,3,IF(K23=J23,1,0))))</f>
        <v>0</v>
      </c>
      <c r="M73" s="1">
        <f>IF(P23="",0,(IF(P23&gt;Q23,3,IF(P23=Q23,1,0))))</f>
        <v>0</v>
      </c>
      <c r="N73" s="1">
        <f>IF(Q23="",0,(IF(Q23&gt;P23,3,IF(Q23=P23,1,0))))</f>
        <v>0</v>
      </c>
      <c r="S73" s="1">
        <f>IF(V23="",0,(IF(V23&gt;W23,3,IF(V23=W23,1,0))))</f>
        <v>0</v>
      </c>
      <c r="T73" s="1">
        <f>IF(W23="",0,(IF(W23&gt;V23,3,IF(W23=V23,1,0))))</f>
        <v>0</v>
      </c>
    </row>
    <row r="74" spans="1:20" hidden="1" x14ac:dyDescent="0.25"/>
    <row r="75" spans="1:20" hidden="1" x14ac:dyDescent="0.25"/>
  </sheetData>
  <sheetProtection sheet="1" scenarios="1" selectLockedCells="1"/>
  <mergeCells count="199">
    <mergeCell ref="E4:G4"/>
    <mergeCell ref="I4:K4"/>
    <mergeCell ref="L4:M4"/>
    <mergeCell ref="E5:G5"/>
    <mergeCell ref="L5:M5"/>
    <mergeCell ref="A6:H6"/>
    <mergeCell ref="J6:L6"/>
    <mergeCell ref="O6:W6"/>
    <mergeCell ref="U1:W5"/>
    <mergeCell ref="A1:T1"/>
    <mergeCell ref="B7:C7"/>
    <mergeCell ref="D7:E7"/>
    <mergeCell ref="H7:I7"/>
    <mergeCell ref="J7:K7"/>
    <mergeCell ref="N7:O7"/>
    <mergeCell ref="P7:Q7"/>
    <mergeCell ref="T7:U7"/>
    <mergeCell ref="V7:W7"/>
    <mergeCell ref="B8:C8"/>
    <mergeCell ref="D8:E8"/>
    <mergeCell ref="H8:I8"/>
    <mergeCell ref="J8:K8"/>
    <mergeCell ref="N8:O8"/>
    <mergeCell ref="P8:Q8"/>
    <mergeCell ref="T8:U8"/>
    <mergeCell ref="V8:W8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T11:U11"/>
    <mergeCell ref="V11:W11"/>
    <mergeCell ref="B13:C13"/>
    <mergeCell ref="D13:E13"/>
    <mergeCell ref="H13:I13"/>
    <mergeCell ref="J13:K13"/>
    <mergeCell ref="N13:O13"/>
    <mergeCell ref="P13:Q13"/>
    <mergeCell ref="T13:U13"/>
    <mergeCell ref="V13:W13"/>
    <mergeCell ref="B11:C11"/>
    <mergeCell ref="D11:E11"/>
    <mergeCell ref="H11:I11"/>
    <mergeCell ref="J11:K11"/>
    <mergeCell ref="N11:O11"/>
    <mergeCell ref="P11:Q11"/>
    <mergeCell ref="T17:U17"/>
    <mergeCell ref="V17:W17"/>
    <mergeCell ref="B21:C21"/>
    <mergeCell ref="D21:E21"/>
    <mergeCell ref="H21:I21"/>
    <mergeCell ref="J21:K21"/>
    <mergeCell ref="N21:O21"/>
    <mergeCell ref="P21:Q21"/>
    <mergeCell ref="T21:U21"/>
    <mergeCell ref="V21:W21"/>
    <mergeCell ref="B17:C17"/>
    <mergeCell ref="D17:E17"/>
    <mergeCell ref="H17:I17"/>
    <mergeCell ref="J17:K17"/>
    <mergeCell ref="N17:O17"/>
    <mergeCell ref="P17:Q17"/>
    <mergeCell ref="A25:W25"/>
    <mergeCell ref="B26:C26"/>
    <mergeCell ref="D26:E26"/>
    <mergeCell ref="H26:I26"/>
    <mergeCell ref="J26:K26"/>
    <mergeCell ref="N26:O26"/>
    <mergeCell ref="P26:Q26"/>
    <mergeCell ref="T26:U26"/>
    <mergeCell ref="V26:W26"/>
    <mergeCell ref="A34:K34"/>
    <mergeCell ref="M34:W34"/>
    <mergeCell ref="T27:U27"/>
    <mergeCell ref="V27:W27"/>
    <mergeCell ref="B28:C28"/>
    <mergeCell ref="D28:E28"/>
    <mergeCell ref="H28:I28"/>
    <mergeCell ref="J28:K28"/>
    <mergeCell ref="N28:O28"/>
    <mergeCell ref="P28:Q28"/>
    <mergeCell ref="T28:U28"/>
    <mergeCell ref="V28:W28"/>
    <mergeCell ref="B27:C27"/>
    <mergeCell ref="D27:E27"/>
    <mergeCell ref="H27:I27"/>
    <mergeCell ref="J27:K27"/>
    <mergeCell ref="N27:O27"/>
    <mergeCell ref="P27:Q27"/>
    <mergeCell ref="A31:W31"/>
    <mergeCell ref="A33:H33"/>
    <mergeCell ref="J33:L33"/>
    <mergeCell ref="O33:W33"/>
    <mergeCell ref="T29:U29"/>
    <mergeCell ref="V29:W29"/>
    <mergeCell ref="B30:C30"/>
    <mergeCell ref="D30:E30"/>
    <mergeCell ref="H30:I30"/>
    <mergeCell ref="J30:K30"/>
    <mergeCell ref="N30:O30"/>
    <mergeCell ref="P30:Q30"/>
    <mergeCell ref="T30:U30"/>
    <mergeCell ref="V30:W30"/>
    <mergeCell ref="B29:C29"/>
    <mergeCell ref="D29:E29"/>
    <mergeCell ref="H29:I29"/>
    <mergeCell ref="J29:K29"/>
    <mergeCell ref="N29:O29"/>
    <mergeCell ref="P29:Q29"/>
    <mergeCell ref="B35:C35"/>
    <mergeCell ref="D35:E35"/>
    <mergeCell ref="H35:I35"/>
    <mergeCell ref="J35:K35"/>
    <mergeCell ref="N35:O35"/>
    <mergeCell ref="P35:Q35"/>
    <mergeCell ref="T35:U35"/>
    <mergeCell ref="T39:U39"/>
    <mergeCell ref="V35:W35"/>
    <mergeCell ref="T58:U58"/>
    <mergeCell ref="V58:W58"/>
    <mergeCell ref="D59:E59"/>
    <mergeCell ref="J59:K59"/>
    <mergeCell ref="P59:Q59"/>
    <mergeCell ref="V59:W59"/>
    <mergeCell ref="A54:W54"/>
    <mergeCell ref="A55:W55"/>
    <mergeCell ref="A57:W57"/>
    <mergeCell ref="B58:C58"/>
    <mergeCell ref="D58:E58"/>
    <mergeCell ref="F58:F62"/>
    <mergeCell ref="H58:I58"/>
    <mergeCell ref="J58:K58"/>
    <mergeCell ref="N58:O58"/>
    <mergeCell ref="P58:Q58"/>
    <mergeCell ref="V62:W62"/>
    <mergeCell ref="D60:E60"/>
    <mergeCell ref="J60:K60"/>
    <mergeCell ref="P60:Q60"/>
    <mergeCell ref="V60:W60"/>
    <mergeCell ref="D61:E61"/>
    <mergeCell ref="J61:K61"/>
    <mergeCell ref="P61:Q61"/>
    <mergeCell ref="V61:W61"/>
    <mergeCell ref="A63:Q63"/>
    <mergeCell ref="B46:C46"/>
    <mergeCell ref="D46:E46"/>
    <mergeCell ref="H46:I46"/>
    <mergeCell ref="J46:K46"/>
    <mergeCell ref="N46:O46"/>
    <mergeCell ref="D62:E62"/>
    <mergeCell ref="J62:K62"/>
    <mergeCell ref="P62:Q62"/>
    <mergeCell ref="A49:W49"/>
    <mergeCell ref="P46:Q46"/>
    <mergeCell ref="T46:U46"/>
    <mergeCell ref="V46:W46"/>
    <mergeCell ref="B53:F53"/>
    <mergeCell ref="B52:F52"/>
    <mergeCell ref="B51:F51"/>
    <mergeCell ref="B50:F50"/>
    <mergeCell ref="H50:L50"/>
    <mergeCell ref="T50:W50"/>
    <mergeCell ref="T51:W51"/>
    <mergeCell ref="T52:W52"/>
    <mergeCell ref="T53:W53"/>
    <mergeCell ref="H51:L51"/>
    <mergeCell ref="H52:L52"/>
    <mergeCell ref="H53:L53"/>
    <mergeCell ref="N50:R50"/>
    <mergeCell ref="N51:R51"/>
    <mergeCell ref="N52:R52"/>
    <mergeCell ref="N53:R53"/>
    <mergeCell ref="V39:W39"/>
    <mergeCell ref="B43:C43"/>
    <mergeCell ref="D43:E43"/>
    <mergeCell ref="H43:I43"/>
    <mergeCell ref="J43:K43"/>
    <mergeCell ref="N43:O43"/>
    <mergeCell ref="P43:Q43"/>
    <mergeCell ref="T43:U43"/>
    <mergeCell ref="V43:W43"/>
    <mergeCell ref="B39:C39"/>
    <mergeCell ref="D39:E39"/>
    <mergeCell ref="H39:I39"/>
    <mergeCell ref="J39:K39"/>
    <mergeCell ref="N39:O39"/>
    <mergeCell ref="P39:Q39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3" orientation="landscape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R38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24" width="11.5703125" style="1"/>
    <col min="25" max="44" width="5.85546875" style="1" hidden="1" customWidth="1"/>
    <col min="45" max="55" width="0" style="1" hidden="1" customWidth="1"/>
    <col min="56" max="16384" width="11.5703125" style="1"/>
  </cols>
  <sheetData>
    <row r="1" spans="1:44" ht="24.95" customHeight="1" x14ac:dyDescent="0.25">
      <c r="A1" s="821" t="s">
        <v>81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3"/>
      <c r="U1" s="826"/>
      <c r="V1" s="827"/>
      <c r="W1" s="828"/>
    </row>
    <row r="2" spans="1:44" ht="24.95" customHeight="1" x14ac:dyDescent="0.25">
      <c r="A2" s="262" t="s">
        <v>169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104"/>
      <c r="P2" s="218"/>
      <c r="Q2" s="218"/>
      <c r="R2" s="218"/>
      <c r="S2" s="218"/>
      <c r="T2" s="326"/>
      <c r="U2" s="829"/>
      <c r="V2" s="830"/>
      <c r="W2" s="831"/>
    </row>
    <row r="3" spans="1:44" ht="24.95" customHeight="1" thickBot="1" x14ac:dyDescent="0.3">
      <c r="A3" s="736" t="s">
        <v>9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104"/>
      <c r="P3" s="218"/>
      <c r="Q3" s="218"/>
      <c r="R3" s="218"/>
      <c r="S3" s="218"/>
      <c r="T3" s="326"/>
      <c r="U3" s="829"/>
      <c r="V3" s="830"/>
      <c r="W3" s="831"/>
    </row>
    <row r="4" spans="1:44" ht="24.95" customHeight="1" thickBot="1" x14ac:dyDescent="0.3">
      <c r="A4" s="263" t="s">
        <v>52</v>
      </c>
      <c r="B4" s="311"/>
      <c r="C4" s="311"/>
      <c r="D4" s="311"/>
      <c r="E4" s="738">
        <v>0.39583333333333331</v>
      </c>
      <c r="F4" s="739"/>
      <c r="G4" s="740"/>
      <c r="H4" s="311"/>
      <c r="I4" s="264" t="s">
        <v>54</v>
      </c>
      <c r="J4" s="264"/>
      <c r="K4" s="312"/>
      <c r="L4" s="742">
        <f>(3*G6)+(3*S6)</f>
        <v>3.3333333333333333E-2</v>
      </c>
      <c r="M4" s="742"/>
      <c r="N4" s="264" t="s">
        <v>33</v>
      </c>
      <c r="O4" s="264"/>
      <c r="P4" s="218"/>
      <c r="Q4" s="218"/>
      <c r="R4" s="218"/>
      <c r="S4" s="218"/>
      <c r="T4" s="326"/>
      <c r="U4" s="829"/>
      <c r="V4" s="830"/>
      <c r="W4" s="831"/>
      <c r="X4" s="71"/>
      <c r="Y4" s="71"/>
      <c r="Z4" s="71"/>
      <c r="AA4" s="71"/>
      <c r="AB4" s="71"/>
    </row>
    <row r="5" spans="1:44" ht="24.95" customHeight="1" thickBot="1" x14ac:dyDescent="0.3">
      <c r="A5" s="317" t="s">
        <v>32</v>
      </c>
      <c r="B5" s="215"/>
      <c r="C5" s="215"/>
      <c r="D5" s="215"/>
      <c r="E5" s="876">
        <f>S23-A14+S6</f>
        <v>0.16527777777777727</v>
      </c>
      <c r="F5" s="876"/>
      <c r="G5" s="876"/>
      <c r="H5" s="215"/>
      <c r="I5" s="216" t="s">
        <v>79</v>
      </c>
      <c r="J5" s="216"/>
      <c r="K5" s="216"/>
      <c r="L5" s="687">
        <v>0</v>
      </c>
      <c r="M5" s="688"/>
      <c r="N5" s="215"/>
      <c r="O5" s="215"/>
      <c r="P5" s="213"/>
      <c r="Q5" s="213"/>
      <c r="R5" s="213"/>
      <c r="S5" s="213"/>
      <c r="T5" s="327"/>
      <c r="U5" s="832"/>
      <c r="V5" s="833"/>
      <c r="W5" s="834"/>
      <c r="Z5" s="3"/>
    </row>
    <row r="6" spans="1:44" ht="16.5" thickBot="1" x14ac:dyDescent="0.3">
      <c r="A6" s="701" t="s">
        <v>19</v>
      </c>
      <c r="B6" s="685"/>
      <c r="C6" s="685"/>
      <c r="D6" s="686" t="s">
        <v>18</v>
      </c>
      <c r="E6" s="686"/>
      <c r="F6" s="686"/>
      <c r="G6" s="782">
        <v>5.5555555555555558E-3</v>
      </c>
      <c r="H6" s="782"/>
      <c r="I6" s="4" t="s">
        <v>17</v>
      </c>
      <c r="J6" s="4"/>
      <c r="K6" s="5"/>
      <c r="L6" s="109"/>
      <c r="M6" s="701" t="s">
        <v>20</v>
      </c>
      <c r="N6" s="685"/>
      <c r="O6" s="685"/>
      <c r="P6" s="868" t="s">
        <v>18</v>
      </c>
      <c r="Q6" s="868"/>
      <c r="R6" s="868"/>
      <c r="S6" s="782">
        <v>5.5555555555555558E-3</v>
      </c>
      <c r="T6" s="782"/>
      <c r="U6" s="4" t="s">
        <v>17</v>
      </c>
      <c r="V6" s="4"/>
      <c r="W6" s="5"/>
    </row>
    <row r="7" spans="1:44" x14ac:dyDescent="0.25">
      <c r="A7" s="6"/>
      <c r="B7" s="744" t="s">
        <v>41</v>
      </c>
      <c r="C7" s="745"/>
      <c r="D7" s="744" t="s">
        <v>15</v>
      </c>
      <c r="E7" s="746"/>
      <c r="F7" s="102"/>
      <c r="G7" s="7"/>
      <c r="H7" s="747" t="s">
        <v>42</v>
      </c>
      <c r="I7" s="748"/>
      <c r="J7" s="747" t="s">
        <v>15</v>
      </c>
      <c r="K7" s="749"/>
      <c r="L7" s="110"/>
      <c r="M7" s="8"/>
      <c r="N7" s="804" t="s">
        <v>30</v>
      </c>
      <c r="O7" s="805"/>
      <c r="P7" s="852" t="s">
        <v>15</v>
      </c>
      <c r="Q7" s="853"/>
      <c r="R7" s="102"/>
      <c r="S7" s="9"/>
      <c r="T7" s="807" t="s">
        <v>31</v>
      </c>
      <c r="U7" s="808"/>
      <c r="V7" s="850" t="s">
        <v>15</v>
      </c>
      <c r="W7" s="851"/>
    </row>
    <row r="8" spans="1:44" x14ac:dyDescent="0.25">
      <c r="A8" s="10">
        <v>1</v>
      </c>
      <c r="B8" s="731" t="s">
        <v>22</v>
      </c>
      <c r="C8" s="732"/>
      <c r="D8" s="725">
        <f>Y14+Y18+Y22+C34/1000000</f>
        <v>0</v>
      </c>
      <c r="E8" s="726"/>
      <c r="F8" s="103"/>
      <c r="G8" s="11">
        <v>1</v>
      </c>
      <c r="H8" s="727" t="s">
        <v>26</v>
      </c>
      <c r="I8" s="728"/>
      <c r="J8" s="856">
        <f>AE14+AE18+AE22</f>
        <v>0</v>
      </c>
      <c r="K8" s="857"/>
      <c r="L8" s="110"/>
      <c r="M8" s="12">
        <v>1</v>
      </c>
      <c r="N8" s="844" t="str">
        <f>IF(D14="","4eme A",B30)</f>
        <v>4eme A</v>
      </c>
      <c r="O8" s="845"/>
      <c r="P8" s="858">
        <f>AK14+AK18+AK22</f>
        <v>0</v>
      </c>
      <c r="Q8" s="859"/>
      <c r="R8" s="103"/>
      <c r="S8" s="13">
        <v>1</v>
      </c>
      <c r="T8" s="835" t="str">
        <f>IF(D14="","2eme A",B28)</f>
        <v>2eme A</v>
      </c>
      <c r="U8" s="836"/>
      <c r="V8" s="860">
        <f>AQ14+AQ18+AQ22</f>
        <v>0</v>
      </c>
      <c r="W8" s="861"/>
    </row>
    <row r="9" spans="1:44" x14ac:dyDescent="0.25">
      <c r="A9" s="10">
        <v>2</v>
      </c>
      <c r="B9" s="731" t="s">
        <v>23</v>
      </c>
      <c r="C9" s="732"/>
      <c r="D9" s="725">
        <f>Z14+Y19+Y23+C35/1000000</f>
        <v>0</v>
      </c>
      <c r="E9" s="726"/>
      <c r="F9" s="103"/>
      <c r="G9" s="11">
        <v>2</v>
      </c>
      <c r="H9" s="727" t="s">
        <v>27</v>
      </c>
      <c r="I9" s="728"/>
      <c r="J9" s="856">
        <f>AF14+AE19+AE23</f>
        <v>0</v>
      </c>
      <c r="K9" s="857"/>
      <c r="L9" s="110"/>
      <c r="M9" s="12">
        <v>2</v>
      </c>
      <c r="N9" s="844" t="str">
        <f>IF(D14="","3eme B",H29)</f>
        <v>3eme B</v>
      </c>
      <c r="O9" s="845"/>
      <c r="P9" s="858">
        <f>AL14+AK19+AK23</f>
        <v>0</v>
      </c>
      <c r="Q9" s="859"/>
      <c r="R9" s="103"/>
      <c r="S9" s="13">
        <v>2</v>
      </c>
      <c r="T9" s="835" t="str">
        <f>IF(D14="","1er B",H27)</f>
        <v>1er B</v>
      </c>
      <c r="U9" s="836"/>
      <c r="V9" s="860">
        <f>AR14+AQ19+AQ23</f>
        <v>0</v>
      </c>
      <c r="W9" s="861"/>
      <c r="Y9" s="14"/>
    </row>
    <row r="10" spans="1:44" x14ac:dyDescent="0.25">
      <c r="A10" s="10">
        <v>3</v>
      </c>
      <c r="B10" s="731" t="s">
        <v>24</v>
      </c>
      <c r="C10" s="732"/>
      <c r="D10" s="725">
        <f>Y15+Z18+Z23+C36/1000000</f>
        <v>0</v>
      </c>
      <c r="E10" s="726"/>
      <c r="F10" s="103"/>
      <c r="G10" s="11">
        <v>3</v>
      </c>
      <c r="H10" s="727" t="s">
        <v>28</v>
      </c>
      <c r="I10" s="728"/>
      <c r="J10" s="856">
        <f>AE15+AF18+AF23</f>
        <v>0</v>
      </c>
      <c r="K10" s="857"/>
      <c r="L10" s="110"/>
      <c r="M10" s="12">
        <v>3</v>
      </c>
      <c r="N10" s="844" t="str">
        <f>IF(D14="","3eme A",B29)</f>
        <v>3eme A</v>
      </c>
      <c r="O10" s="845"/>
      <c r="P10" s="858">
        <f>AK15+AL18+AL23</f>
        <v>0</v>
      </c>
      <c r="Q10" s="859"/>
      <c r="R10" s="103"/>
      <c r="S10" s="13">
        <v>3</v>
      </c>
      <c r="T10" s="835" t="str">
        <f>IF(D14="","1er A",B27)</f>
        <v>1er A</v>
      </c>
      <c r="U10" s="836"/>
      <c r="V10" s="860">
        <f>AQ15+AR18+AR23</f>
        <v>0</v>
      </c>
      <c r="W10" s="861"/>
    </row>
    <row r="11" spans="1:44" ht="15.75" thickBot="1" x14ac:dyDescent="0.3">
      <c r="A11" s="15">
        <v>4</v>
      </c>
      <c r="B11" s="717" t="s">
        <v>25</v>
      </c>
      <c r="C11" s="718"/>
      <c r="D11" s="719">
        <f>Z15+Z19+Z22+C37/1000000</f>
        <v>0</v>
      </c>
      <c r="E11" s="720"/>
      <c r="F11" s="103"/>
      <c r="G11" s="16">
        <v>4</v>
      </c>
      <c r="H11" s="721" t="s">
        <v>29</v>
      </c>
      <c r="I11" s="722"/>
      <c r="J11" s="854">
        <f>AF15+AF19+AF22</f>
        <v>0</v>
      </c>
      <c r="K11" s="855"/>
      <c r="L11" s="110"/>
      <c r="M11" s="17">
        <v>4</v>
      </c>
      <c r="N11" s="846" t="str">
        <f>IF(D14="","4eme B",H30)</f>
        <v>4eme B</v>
      </c>
      <c r="O11" s="847"/>
      <c r="P11" s="848">
        <f>AL15+AL19+AL22</f>
        <v>0</v>
      </c>
      <c r="Q11" s="849"/>
      <c r="R11" s="103"/>
      <c r="S11" s="18">
        <v>4</v>
      </c>
      <c r="T11" s="837" t="str">
        <f>IF(D14="","2eme B",H28)</f>
        <v>2eme B</v>
      </c>
      <c r="U11" s="838"/>
      <c r="V11" s="862">
        <f>AR15+AR19+AR22</f>
        <v>0</v>
      </c>
      <c r="W11" s="863"/>
    </row>
    <row r="12" spans="1:44" ht="15.75" thickBot="1" x14ac:dyDescent="0.3">
      <c r="A12" s="19"/>
      <c r="B12" s="2"/>
      <c r="C12" s="2"/>
      <c r="D12" s="2"/>
      <c r="E12" s="2"/>
      <c r="F12" s="2"/>
      <c r="G12" s="2"/>
      <c r="H12" s="2"/>
      <c r="I12" s="20"/>
      <c r="J12" s="2"/>
      <c r="K12" s="21"/>
      <c r="L12" s="110"/>
      <c r="M12" s="19"/>
      <c r="N12" s="2"/>
      <c r="O12" s="2"/>
      <c r="P12" s="2"/>
      <c r="Q12" s="2"/>
      <c r="R12" s="2"/>
      <c r="S12" s="2"/>
      <c r="T12" s="2"/>
      <c r="U12" s="2"/>
      <c r="V12" s="22"/>
      <c r="W12" s="23"/>
    </row>
    <row r="13" spans="1:44" s="29" customFormat="1" x14ac:dyDescent="0.25">
      <c r="A13" s="24"/>
      <c r="B13" s="713" t="s">
        <v>5</v>
      </c>
      <c r="C13" s="713"/>
      <c r="D13" s="713" t="s">
        <v>16</v>
      </c>
      <c r="E13" s="714"/>
      <c r="F13" s="25"/>
      <c r="G13" s="26"/>
      <c r="H13" s="715" t="s">
        <v>5</v>
      </c>
      <c r="I13" s="715"/>
      <c r="J13" s="715" t="s">
        <v>16</v>
      </c>
      <c r="K13" s="716"/>
      <c r="L13" s="111"/>
      <c r="M13" s="27"/>
      <c r="N13" s="786" t="s">
        <v>10</v>
      </c>
      <c r="O13" s="786"/>
      <c r="P13" s="786" t="s">
        <v>16</v>
      </c>
      <c r="Q13" s="787"/>
      <c r="R13" s="25"/>
      <c r="S13" s="28"/>
      <c r="T13" s="784" t="s">
        <v>10</v>
      </c>
      <c r="U13" s="784"/>
      <c r="V13" s="784" t="s">
        <v>16</v>
      </c>
      <c r="W13" s="785"/>
      <c r="Y13" s="1"/>
      <c r="Z13" s="1"/>
    </row>
    <row r="14" spans="1:44" x14ac:dyDescent="0.25">
      <c r="A14" s="30">
        <f>E4</f>
        <v>0.39583333333333331</v>
      </c>
      <c r="B14" s="31" t="str">
        <f>B8</f>
        <v>Equipe 1</v>
      </c>
      <c r="C14" s="31" t="str">
        <f>B9</f>
        <v>Equipe 2</v>
      </c>
      <c r="D14" s="53"/>
      <c r="E14" s="54"/>
      <c r="F14" s="2"/>
      <c r="G14" s="32">
        <f>A15+$G$6+"00:02"</f>
        <v>0.40972222222222215</v>
      </c>
      <c r="H14" s="33" t="str">
        <f>H8</f>
        <v>Equipe 5</v>
      </c>
      <c r="I14" s="33" t="str">
        <f>H9</f>
        <v>Equipe 6</v>
      </c>
      <c r="J14" s="57"/>
      <c r="K14" s="58"/>
      <c r="L14" s="110"/>
      <c r="M14" s="34">
        <f>G23+$G$6+"00:02"+L5</f>
        <v>0.47916666666666635</v>
      </c>
      <c r="N14" s="35" t="str">
        <f>N8</f>
        <v>4eme A</v>
      </c>
      <c r="O14" s="35" t="str">
        <f>N9</f>
        <v>3eme B</v>
      </c>
      <c r="P14" s="61"/>
      <c r="Q14" s="62"/>
      <c r="R14" s="2"/>
      <c r="S14" s="36">
        <f>M15+$S$6+"00:02"</f>
        <v>0.49305555555555519</v>
      </c>
      <c r="T14" s="37" t="str">
        <f>T8</f>
        <v>2eme A</v>
      </c>
      <c r="U14" s="37" t="str">
        <f>T9</f>
        <v>1er B</v>
      </c>
      <c r="V14" s="65"/>
      <c r="W14" s="66"/>
      <c r="Y14" s="1">
        <f>IF(D14="",0,(IF(D14&gt;E14,3,IF(D14=E14,1,0))))</f>
        <v>0</v>
      </c>
      <c r="Z14" s="1">
        <f>IF(E14="",0,(IF(E14&gt;D14,3,IF(E14=D14,1,0))))</f>
        <v>0</v>
      </c>
      <c r="AE14" s="1">
        <f>IF(J14="",0,(IF(J14&gt;K14,3,IF(J14=K14,1,0))))</f>
        <v>0</v>
      </c>
      <c r="AF14" s="1">
        <f>IF(K14="",0,(IF(K14&gt;J14,3,IF(K14=J14,1,0))))</f>
        <v>0</v>
      </c>
      <c r="AK14" s="1">
        <f>IF(P14="",0,(IF(P14&gt;Q14,3,IF(P14=Q14,1,0))))</f>
        <v>0</v>
      </c>
      <c r="AL14" s="1">
        <f>IF(Q14="",0,(IF(Q14&gt;P14,3,IF(Q14=P14,1,0))))</f>
        <v>0</v>
      </c>
      <c r="AQ14" s="1">
        <f>IF(V14="",0,(IF(V14&gt;W14,3,IF(V14=W14,1,0))))</f>
        <v>0</v>
      </c>
      <c r="AR14" s="1">
        <f>IF(W14="",0,(IF(W14&gt;V14,3,IF(W14=V14,1,0))))</f>
        <v>0</v>
      </c>
    </row>
    <row r="15" spans="1:44" ht="15.75" thickBot="1" x14ac:dyDescent="0.3">
      <c r="A15" s="38">
        <f>A14+$G$6+"00:02"</f>
        <v>0.40277777777777773</v>
      </c>
      <c r="B15" s="39" t="str">
        <f>B10</f>
        <v>Equipe 3</v>
      </c>
      <c r="C15" s="39" t="str">
        <f>B11</f>
        <v>Equipe 4</v>
      </c>
      <c r="D15" s="55"/>
      <c r="E15" s="56"/>
      <c r="F15" s="2"/>
      <c r="G15" s="40">
        <f>G14+$G$6+"00:02"</f>
        <v>0.41666666666666657</v>
      </c>
      <c r="H15" s="41" t="str">
        <f>H10</f>
        <v>Equipe 7</v>
      </c>
      <c r="I15" s="41" t="str">
        <f>H11</f>
        <v>Equipe 8</v>
      </c>
      <c r="J15" s="59"/>
      <c r="K15" s="60"/>
      <c r="L15" s="110"/>
      <c r="M15" s="42">
        <f>M14+$S$6+"00:02"</f>
        <v>0.48611111111111077</v>
      </c>
      <c r="N15" s="43" t="str">
        <f>N10</f>
        <v>3eme A</v>
      </c>
      <c r="O15" s="43" t="str">
        <f>N11</f>
        <v>4eme B</v>
      </c>
      <c r="P15" s="63"/>
      <c r="Q15" s="64"/>
      <c r="R15" s="2"/>
      <c r="S15" s="44">
        <f>S14+$S$6+"00:02"</f>
        <v>0.49999999999999961</v>
      </c>
      <c r="T15" s="45" t="str">
        <f>T10</f>
        <v>1er A</v>
      </c>
      <c r="U15" s="45" t="str">
        <f>T11</f>
        <v>2eme B</v>
      </c>
      <c r="V15" s="67"/>
      <c r="W15" s="68"/>
      <c r="Y15" s="1">
        <f t="shared" ref="Y15:Y23" si="0">IF(D15="",0,(IF(D15&gt;E15,3,IF(D15=E15,1,0))))</f>
        <v>0</v>
      </c>
      <c r="Z15" s="1">
        <f t="shared" ref="Z15:Z23" si="1">IF(E15="",0,(IF(E15&gt;D15,3,IF(E15=D15,1,0))))</f>
        <v>0</v>
      </c>
      <c r="AE15" s="1">
        <f t="shared" ref="AE15:AE23" si="2">IF(J15="",0,(IF(J15&gt;K15,3,IF(J15=K15,1,0))))</f>
        <v>0</v>
      </c>
      <c r="AF15" s="1">
        <f t="shared" ref="AF15:AF23" si="3">IF(K15="",0,(IF(K15&gt;J15,3,IF(K15=J15,1,0))))</f>
        <v>0</v>
      </c>
      <c r="AK15" s="1">
        <f t="shared" ref="AK15:AK23" si="4">IF(P15="",0,(IF(P15&gt;Q15,3,IF(P15=Q15,1,0))))</f>
        <v>0</v>
      </c>
      <c r="AL15" s="1">
        <f t="shared" ref="AL15:AL23" si="5">IF(Q15="",0,(IF(Q15&gt;P15,3,IF(Q15=P15,1,0))))</f>
        <v>0</v>
      </c>
      <c r="AQ15" s="1">
        <f t="shared" ref="AQ15:AQ23" si="6">IF(V15="",0,(IF(V15&gt;W15,3,IF(V15=W15,1,0))))</f>
        <v>0</v>
      </c>
      <c r="AR15" s="1">
        <f t="shared" ref="AR15:AR23" si="7">IF(W15="",0,(IF(W15&gt;V15,3,IF(W15=V15,1,0))))</f>
        <v>0</v>
      </c>
    </row>
    <row r="16" spans="1:44" ht="15.75" thickBot="1" x14ac:dyDescent="0.3">
      <c r="A16" s="19"/>
      <c r="B16" s="2"/>
      <c r="C16" s="2"/>
      <c r="D16" s="46"/>
      <c r="E16" s="46"/>
      <c r="F16" s="2"/>
      <c r="G16" s="2"/>
      <c r="H16" s="2"/>
      <c r="I16" s="47"/>
      <c r="J16" s="46"/>
      <c r="K16" s="48"/>
      <c r="L16" s="110"/>
      <c r="M16" s="19"/>
      <c r="N16" s="2"/>
      <c r="O16" s="2"/>
      <c r="P16" s="46"/>
      <c r="Q16" s="46"/>
      <c r="R16" s="2"/>
      <c r="S16" s="2"/>
      <c r="T16" s="2"/>
      <c r="U16" s="2"/>
      <c r="V16" s="46"/>
      <c r="W16" s="48"/>
    </row>
    <row r="17" spans="1:44" s="29" customFormat="1" x14ac:dyDescent="0.25">
      <c r="A17" s="24"/>
      <c r="B17" s="713" t="s">
        <v>6</v>
      </c>
      <c r="C17" s="713"/>
      <c r="D17" s="713" t="s">
        <v>16</v>
      </c>
      <c r="E17" s="714"/>
      <c r="F17" s="25"/>
      <c r="G17" s="26"/>
      <c r="H17" s="715" t="s">
        <v>6</v>
      </c>
      <c r="I17" s="715"/>
      <c r="J17" s="715" t="s">
        <v>16</v>
      </c>
      <c r="K17" s="716"/>
      <c r="L17" s="111"/>
      <c r="M17" s="27"/>
      <c r="N17" s="786" t="s">
        <v>11</v>
      </c>
      <c r="O17" s="786"/>
      <c r="P17" s="786" t="s">
        <v>16</v>
      </c>
      <c r="Q17" s="787"/>
      <c r="R17" s="25"/>
      <c r="S17" s="28"/>
      <c r="T17" s="784" t="s">
        <v>11</v>
      </c>
      <c r="U17" s="784"/>
      <c r="V17" s="784" t="s">
        <v>16</v>
      </c>
      <c r="W17" s="785"/>
      <c r="Y17" s="1"/>
      <c r="Z17" s="1"/>
      <c r="AB17" s="1"/>
      <c r="AC17" s="1"/>
      <c r="AE17" s="1"/>
      <c r="AF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5">
      <c r="A18" s="30">
        <f>G15+$G$6+"00:02"</f>
        <v>0.42361111111111099</v>
      </c>
      <c r="B18" s="31" t="str">
        <f>B8</f>
        <v>Equipe 1</v>
      </c>
      <c r="C18" s="31" t="str">
        <f>B10</f>
        <v>Equipe 3</v>
      </c>
      <c r="D18" s="53"/>
      <c r="E18" s="54"/>
      <c r="F18" s="2"/>
      <c r="G18" s="32">
        <f>A19+$G$6+"00:02"</f>
        <v>0.43749999999999983</v>
      </c>
      <c r="H18" s="33" t="str">
        <f>H8</f>
        <v>Equipe 5</v>
      </c>
      <c r="I18" s="33" t="str">
        <f>H10</f>
        <v>Equipe 7</v>
      </c>
      <c r="J18" s="57"/>
      <c r="K18" s="58"/>
      <c r="L18" s="110"/>
      <c r="M18" s="34">
        <f>S15+$S$6+"00:02"</f>
        <v>0.50694444444444409</v>
      </c>
      <c r="N18" s="35" t="str">
        <f>N8</f>
        <v>4eme A</v>
      </c>
      <c r="O18" s="35" t="str">
        <f>N10</f>
        <v>3eme A</v>
      </c>
      <c r="P18" s="61"/>
      <c r="Q18" s="62"/>
      <c r="R18" s="2"/>
      <c r="S18" s="36">
        <f>M19+$S$6+"00:02"</f>
        <v>0.52083333333333293</v>
      </c>
      <c r="T18" s="37" t="str">
        <f>T8</f>
        <v>2eme A</v>
      </c>
      <c r="U18" s="37" t="str">
        <f>T10</f>
        <v>1er A</v>
      </c>
      <c r="V18" s="65"/>
      <c r="W18" s="66"/>
      <c r="Y18" s="1">
        <f t="shared" si="0"/>
        <v>0</v>
      </c>
      <c r="Z18" s="1">
        <f t="shared" si="1"/>
        <v>0</v>
      </c>
      <c r="AE18" s="1">
        <f t="shared" si="2"/>
        <v>0</v>
      </c>
      <c r="AF18" s="1">
        <f t="shared" si="3"/>
        <v>0</v>
      </c>
      <c r="AK18" s="1">
        <f t="shared" si="4"/>
        <v>0</v>
      </c>
      <c r="AL18" s="1">
        <f t="shared" si="5"/>
        <v>0</v>
      </c>
      <c r="AQ18" s="1">
        <f t="shared" si="6"/>
        <v>0</v>
      </c>
      <c r="AR18" s="1">
        <f t="shared" si="7"/>
        <v>0</v>
      </c>
    </row>
    <row r="19" spans="1:44" ht="15.75" thickBot="1" x14ac:dyDescent="0.3">
      <c r="A19" s="38">
        <f>A18+$G$6+"00:02"</f>
        <v>0.43055555555555541</v>
      </c>
      <c r="B19" s="39" t="str">
        <f>B9</f>
        <v>Equipe 2</v>
      </c>
      <c r="C19" s="39" t="str">
        <f>B11</f>
        <v>Equipe 4</v>
      </c>
      <c r="D19" s="55"/>
      <c r="E19" s="56"/>
      <c r="F19" s="2"/>
      <c r="G19" s="40">
        <f>G18+$G$6+"00:02"</f>
        <v>0.44444444444444425</v>
      </c>
      <c r="H19" s="41" t="str">
        <f>H9</f>
        <v>Equipe 6</v>
      </c>
      <c r="I19" s="41" t="str">
        <f>H11</f>
        <v>Equipe 8</v>
      </c>
      <c r="J19" s="59"/>
      <c r="K19" s="60"/>
      <c r="L19" s="110"/>
      <c r="M19" s="42">
        <f>M18+$S$6+"00:02"</f>
        <v>0.51388888888888851</v>
      </c>
      <c r="N19" s="43" t="str">
        <f>N9</f>
        <v>3eme B</v>
      </c>
      <c r="O19" s="43" t="str">
        <f>N11</f>
        <v>4eme B</v>
      </c>
      <c r="P19" s="63"/>
      <c r="Q19" s="64"/>
      <c r="R19" s="2"/>
      <c r="S19" s="44">
        <f>S18+$S$6+"00:02"</f>
        <v>0.52777777777777735</v>
      </c>
      <c r="T19" s="45" t="str">
        <f>T9</f>
        <v>1er B</v>
      </c>
      <c r="U19" s="45" t="str">
        <f>T11</f>
        <v>2eme B</v>
      </c>
      <c r="V19" s="67"/>
      <c r="W19" s="68"/>
      <c r="Y19" s="1">
        <f t="shared" si="0"/>
        <v>0</v>
      </c>
      <c r="Z19" s="1">
        <f t="shared" si="1"/>
        <v>0</v>
      </c>
      <c r="AE19" s="1">
        <f t="shared" si="2"/>
        <v>0</v>
      </c>
      <c r="AF19" s="1">
        <f t="shared" si="3"/>
        <v>0</v>
      </c>
      <c r="AK19" s="1">
        <f t="shared" si="4"/>
        <v>0</v>
      </c>
      <c r="AL19" s="1">
        <f t="shared" si="5"/>
        <v>0</v>
      </c>
      <c r="AQ19" s="1">
        <f t="shared" si="6"/>
        <v>0</v>
      </c>
      <c r="AR19" s="1">
        <f t="shared" si="7"/>
        <v>0</v>
      </c>
    </row>
    <row r="20" spans="1:44" ht="15.75" thickBot="1" x14ac:dyDescent="0.3">
      <c r="A20" s="19"/>
      <c r="B20" s="2"/>
      <c r="C20" s="2"/>
      <c r="D20" s="46"/>
      <c r="E20" s="46"/>
      <c r="F20" s="2"/>
      <c r="G20" s="2"/>
      <c r="H20" s="2"/>
      <c r="I20" s="47"/>
      <c r="J20" s="46"/>
      <c r="K20" s="48"/>
      <c r="L20" s="110"/>
      <c r="M20" s="19"/>
      <c r="N20" s="2"/>
      <c r="O20" s="2"/>
      <c r="P20" s="46"/>
      <c r="Q20" s="46"/>
      <c r="R20" s="2"/>
      <c r="S20" s="2"/>
      <c r="T20" s="2"/>
      <c r="U20" s="2"/>
      <c r="V20" s="46"/>
      <c r="W20" s="48"/>
    </row>
    <row r="21" spans="1:44" s="29" customFormat="1" x14ac:dyDescent="0.25">
      <c r="A21" s="24"/>
      <c r="B21" s="713" t="s">
        <v>7</v>
      </c>
      <c r="C21" s="713"/>
      <c r="D21" s="713" t="s">
        <v>16</v>
      </c>
      <c r="E21" s="714"/>
      <c r="F21" s="25"/>
      <c r="G21" s="26"/>
      <c r="H21" s="715" t="s">
        <v>7</v>
      </c>
      <c r="I21" s="715"/>
      <c r="J21" s="715" t="s">
        <v>16</v>
      </c>
      <c r="K21" s="716"/>
      <c r="L21" s="111"/>
      <c r="M21" s="27"/>
      <c r="N21" s="786" t="s">
        <v>12</v>
      </c>
      <c r="O21" s="786"/>
      <c r="P21" s="786" t="s">
        <v>16</v>
      </c>
      <c r="Q21" s="787"/>
      <c r="R21" s="25"/>
      <c r="S21" s="28"/>
      <c r="T21" s="784" t="s">
        <v>12</v>
      </c>
      <c r="U21" s="784"/>
      <c r="V21" s="784" t="s">
        <v>16</v>
      </c>
      <c r="W21" s="785"/>
      <c r="Y21" s="1"/>
      <c r="Z21" s="1"/>
      <c r="AB21" s="1"/>
      <c r="AC21" s="1"/>
      <c r="AE21" s="1"/>
      <c r="AF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5">
      <c r="A22" s="30">
        <f>G19+$G$6+"00:02"</f>
        <v>0.45138888888888867</v>
      </c>
      <c r="B22" s="31" t="str">
        <f>B8</f>
        <v>Equipe 1</v>
      </c>
      <c r="C22" s="31" t="str">
        <f>B11</f>
        <v>Equipe 4</v>
      </c>
      <c r="D22" s="53"/>
      <c r="E22" s="54"/>
      <c r="F22" s="2"/>
      <c r="G22" s="32">
        <f>A23+$G$6+"00:02"</f>
        <v>0.46527777777777751</v>
      </c>
      <c r="H22" s="33" t="str">
        <f>H8</f>
        <v>Equipe 5</v>
      </c>
      <c r="I22" s="33" t="str">
        <f>H11</f>
        <v>Equipe 8</v>
      </c>
      <c r="J22" s="57"/>
      <c r="K22" s="58"/>
      <c r="L22" s="110"/>
      <c r="M22" s="34">
        <f>S19+$S$6+"00:02"</f>
        <v>0.53472222222222177</v>
      </c>
      <c r="N22" s="35" t="str">
        <f>N8</f>
        <v>4eme A</v>
      </c>
      <c r="O22" s="35" t="str">
        <f>N11</f>
        <v>4eme B</v>
      </c>
      <c r="P22" s="61"/>
      <c r="Q22" s="62"/>
      <c r="R22" s="2"/>
      <c r="S22" s="36">
        <f>M23+$S$6+"00:02"</f>
        <v>0.54861111111111061</v>
      </c>
      <c r="T22" s="37" t="str">
        <f>T8</f>
        <v>2eme A</v>
      </c>
      <c r="U22" s="37" t="str">
        <f>T11</f>
        <v>2eme B</v>
      </c>
      <c r="V22" s="65"/>
      <c r="W22" s="66"/>
      <c r="Y22" s="1">
        <f t="shared" si="0"/>
        <v>0</v>
      </c>
      <c r="Z22" s="1">
        <f t="shared" si="1"/>
        <v>0</v>
      </c>
      <c r="AE22" s="1">
        <f t="shared" si="2"/>
        <v>0</v>
      </c>
      <c r="AF22" s="1">
        <f t="shared" si="3"/>
        <v>0</v>
      </c>
      <c r="AK22" s="1">
        <f t="shared" si="4"/>
        <v>0</v>
      </c>
      <c r="AL22" s="1">
        <f t="shared" si="5"/>
        <v>0</v>
      </c>
      <c r="AQ22" s="1">
        <f t="shared" si="6"/>
        <v>0</v>
      </c>
      <c r="AR22" s="1">
        <f t="shared" si="7"/>
        <v>0</v>
      </c>
    </row>
    <row r="23" spans="1:44" ht="15.75" thickBot="1" x14ac:dyDescent="0.3">
      <c r="A23" s="38">
        <f>A22+$G$6+"00:02"</f>
        <v>0.45833333333333309</v>
      </c>
      <c r="B23" s="39" t="str">
        <f>B9</f>
        <v>Equipe 2</v>
      </c>
      <c r="C23" s="39" t="str">
        <f>B10</f>
        <v>Equipe 3</v>
      </c>
      <c r="D23" s="55"/>
      <c r="E23" s="56"/>
      <c r="F23" s="47"/>
      <c r="G23" s="40">
        <f>G22+$G$6+"00:02"</f>
        <v>0.47222222222222193</v>
      </c>
      <c r="H23" s="41" t="str">
        <f>H9</f>
        <v>Equipe 6</v>
      </c>
      <c r="I23" s="41" t="str">
        <f>H10</f>
        <v>Equipe 7</v>
      </c>
      <c r="J23" s="59"/>
      <c r="K23" s="60"/>
      <c r="L23" s="110"/>
      <c r="M23" s="42">
        <f>M22+$S$6+"00:02"</f>
        <v>0.54166666666666619</v>
      </c>
      <c r="N23" s="43" t="str">
        <f>N9</f>
        <v>3eme B</v>
      </c>
      <c r="O23" s="43" t="str">
        <f>N10</f>
        <v>3eme A</v>
      </c>
      <c r="P23" s="63"/>
      <c r="Q23" s="64"/>
      <c r="R23" s="47"/>
      <c r="S23" s="44">
        <f>S22+$S$6+"00:02"</f>
        <v>0.55555555555555503</v>
      </c>
      <c r="T23" s="45" t="str">
        <f>T9</f>
        <v>1er B</v>
      </c>
      <c r="U23" s="45" t="str">
        <f>T10</f>
        <v>1er A</v>
      </c>
      <c r="V23" s="67"/>
      <c r="W23" s="68"/>
      <c r="Y23" s="1">
        <f t="shared" si="0"/>
        <v>0</v>
      </c>
      <c r="Z23" s="1">
        <f t="shared" si="1"/>
        <v>0</v>
      </c>
      <c r="AE23" s="1">
        <f t="shared" si="2"/>
        <v>0</v>
      </c>
      <c r="AF23" s="1">
        <f t="shared" si="3"/>
        <v>0</v>
      </c>
      <c r="AK23" s="1">
        <f t="shared" si="4"/>
        <v>0</v>
      </c>
      <c r="AL23" s="1">
        <f t="shared" si="5"/>
        <v>0</v>
      </c>
      <c r="AQ23" s="1">
        <f t="shared" si="6"/>
        <v>0</v>
      </c>
      <c r="AR23" s="1">
        <f t="shared" si="7"/>
        <v>0</v>
      </c>
    </row>
    <row r="24" spans="1:44" ht="24.95" customHeight="1" thickBot="1" x14ac:dyDescent="0.3">
      <c r="A24" s="106"/>
      <c r="B24" s="20"/>
      <c r="C24" s="20"/>
      <c r="D24" s="20"/>
      <c r="E24" s="20"/>
      <c r="F24" s="20"/>
      <c r="G24" s="20"/>
      <c r="H24" s="20"/>
      <c r="I24" s="20"/>
      <c r="J24" s="20"/>
      <c r="K24" s="107"/>
      <c r="L24" s="110"/>
      <c r="M24" s="106"/>
      <c r="N24" s="20"/>
      <c r="O24" s="20"/>
      <c r="P24" s="20"/>
      <c r="Q24" s="20"/>
      <c r="R24" s="20"/>
      <c r="S24" s="20"/>
      <c r="T24" s="20"/>
      <c r="U24" s="20"/>
      <c r="V24" s="20"/>
      <c r="W24" s="107"/>
      <c r="Y24" s="1" t="str">
        <f t="shared" ref="Y24" si="8">IF(D24="","",(IF(D24&gt;E24,3,IF(D24=E24,1,0))))</f>
        <v/>
      </c>
    </row>
    <row r="25" spans="1:44" ht="16.5" thickBot="1" x14ac:dyDescent="0.3">
      <c r="A25" s="865" t="s">
        <v>60</v>
      </c>
      <c r="B25" s="866"/>
      <c r="C25" s="866"/>
      <c r="D25" s="866"/>
      <c r="E25" s="866"/>
      <c r="F25" s="866"/>
      <c r="G25" s="866"/>
      <c r="H25" s="866"/>
      <c r="I25" s="866"/>
      <c r="J25" s="866"/>
      <c r="K25" s="867"/>
      <c r="L25" s="110"/>
      <c r="M25" s="869" t="s">
        <v>47</v>
      </c>
      <c r="N25" s="866"/>
      <c r="O25" s="866"/>
      <c r="P25" s="866"/>
      <c r="Q25" s="866"/>
      <c r="R25" s="866"/>
      <c r="S25" s="866"/>
      <c r="T25" s="866"/>
      <c r="U25" s="866"/>
      <c r="V25" s="866"/>
      <c r="W25" s="870"/>
    </row>
    <row r="26" spans="1:44" x14ac:dyDescent="0.25">
      <c r="A26" s="81" t="s">
        <v>21</v>
      </c>
      <c r="B26" s="711" t="s">
        <v>41</v>
      </c>
      <c r="C26" s="711"/>
      <c r="D26" s="711" t="s">
        <v>15</v>
      </c>
      <c r="E26" s="712"/>
      <c r="F26" s="773"/>
      <c r="G26" s="81" t="s">
        <v>21</v>
      </c>
      <c r="H26" s="711" t="s">
        <v>42</v>
      </c>
      <c r="I26" s="711"/>
      <c r="J26" s="711" t="s">
        <v>15</v>
      </c>
      <c r="K26" s="712"/>
      <c r="L26" s="110"/>
      <c r="M26" s="81" t="s">
        <v>21</v>
      </c>
      <c r="N26" s="711" t="s">
        <v>30</v>
      </c>
      <c r="O26" s="711"/>
      <c r="P26" s="711" t="s">
        <v>15</v>
      </c>
      <c r="Q26" s="712"/>
      <c r="R26" s="773"/>
      <c r="S26" s="81" t="s">
        <v>21</v>
      </c>
      <c r="T26" s="711" t="s">
        <v>31</v>
      </c>
      <c r="U26" s="711"/>
      <c r="V26" s="711" t="s">
        <v>15</v>
      </c>
      <c r="W26" s="712"/>
    </row>
    <row r="27" spans="1:44" x14ac:dyDescent="0.25">
      <c r="A27" s="49">
        <v>1</v>
      </c>
      <c r="B27" s="680" t="str">
        <f>VLOOKUP($A27,$A$34:$D$37,2,FALSE)</f>
        <v>Equipe 1</v>
      </c>
      <c r="C27" s="680"/>
      <c r="D27" s="683">
        <f>VLOOKUP($A27,$A$34:$D$37,4,FALSE)</f>
        <v>3.9999999999999998E-7</v>
      </c>
      <c r="E27" s="684"/>
      <c r="F27" s="774"/>
      <c r="G27" s="49">
        <v>1</v>
      </c>
      <c r="H27" s="680" t="str">
        <f>VLOOKUP($G27,$G$34:$J$37,2,FALSE)</f>
        <v>Equipe 5</v>
      </c>
      <c r="I27" s="680"/>
      <c r="J27" s="683">
        <f>VLOOKUP($G27,$G$34:$J$37,4,FALSE)</f>
        <v>3.9999999999999998E-7</v>
      </c>
      <c r="K27" s="684"/>
      <c r="L27" s="110"/>
      <c r="M27" s="49">
        <v>1</v>
      </c>
      <c r="N27" s="680" t="str">
        <f>VLOOKUP($M27,$M$34:$P$37,2,FALSE)</f>
        <v>4eme A</v>
      </c>
      <c r="O27" s="680"/>
      <c r="P27" s="683">
        <f>VLOOKUP($M27,$M$34:$P$37,4,FALSE)</f>
        <v>3.9999999999999998E-7</v>
      </c>
      <c r="Q27" s="684"/>
      <c r="R27" s="774"/>
      <c r="S27" s="49">
        <v>1</v>
      </c>
      <c r="T27" s="680" t="str">
        <f>VLOOKUP($S27,$S$34:$V$37,2,FALSE)</f>
        <v>2eme A</v>
      </c>
      <c r="U27" s="680"/>
      <c r="V27" s="683">
        <f>VLOOKUP($S27,$S$34:$V$37,4,FALSE)</f>
        <v>3.9999999999999998E-7</v>
      </c>
      <c r="W27" s="684"/>
    </row>
    <row r="28" spans="1:44" x14ac:dyDescent="0.25">
      <c r="A28" s="49">
        <v>2</v>
      </c>
      <c r="B28" s="824" t="str">
        <f>VLOOKUP($A28,$A$34:$D$37,2,FALSE)</f>
        <v>Equipe 2</v>
      </c>
      <c r="C28" s="825"/>
      <c r="D28" s="683">
        <f>VLOOKUP($A28,$A$34:$D$37,4,FALSE)</f>
        <v>2.9999999999999999E-7</v>
      </c>
      <c r="E28" s="684"/>
      <c r="F28" s="774"/>
      <c r="G28" s="49">
        <v>2</v>
      </c>
      <c r="H28" s="680" t="str">
        <f t="shared" ref="H28:H30" si="9">VLOOKUP($G28,$G$34:$J$37,2,FALSE)</f>
        <v>Equipe 6</v>
      </c>
      <c r="I28" s="680"/>
      <c r="J28" s="683">
        <f t="shared" ref="J28:J30" si="10">VLOOKUP($G28,$G$34:$J$37,4,FALSE)</f>
        <v>2.9999999999999999E-7</v>
      </c>
      <c r="K28" s="684"/>
      <c r="L28" s="110"/>
      <c r="M28" s="49">
        <v>2</v>
      </c>
      <c r="N28" s="680" t="str">
        <f t="shared" ref="N28:N30" si="11">VLOOKUP($M28,$M$34:$P$37,2,FALSE)</f>
        <v>3eme B</v>
      </c>
      <c r="O28" s="680"/>
      <c r="P28" s="683">
        <f t="shared" ref="P28:P30" si="12">VLOOKUP($M28,$M$34:$P$37,4,FALSE)</f>
        <v>2.9999999999999999E-7</v>
      </c>
      <c r="Q28" s="684"/>
      <c r="R28" s="774"/>
      <c r="S28" s="49">
        <v>2</v>
      </c>
      <c r="T28" s="680" t="str">
        <f t="shared" ref="T28:T30" si="13">VLOOKUP($S28,$S$34:$V$37,2,FALSE)</f>
        <v>1er B</v>
      </c>
      <c r="U28" s="680"/>
      <c r="V28" s="683">
        <f t="shared" ref="V28:V30" si="14">VLOOKUP($S28,$S$34:$V$37,4,FALSE)</f>
        <v>2.9999999999999999E-7</v>
      </c>
      <c r="W28" s="684"/>
    </row>
    <row r="29" spans="1:44" x14ac:dyDescent="0.25">
      <c r="A29" s="49">
        <v>3</v>
      </c>
      <c r="B29" s="824" t="str">
        <f>VLOOKUP($A29,$A$34:$D$37,2,FALSE)</f>
        <v>Equipe 3</v>
      </c>
      <c r="C29" s="825"/>
      <c r="D29" s="683">
        <f>VLOOKUP($A29,$A$34:$D$37,4,FALSE)</f>
        <v>1.9999999999999999E-7</v>
      </c>
      <c r="E29" s="684"/>
      <c r="F29" s="774"/>
      <c r="G29" s="49">
        <v>3</v>
      </c>
      <c r="H29" s="680" t="str">
        <f t="shared" si="9"/>
        <v>Equipe 7</v>
      </c>
      <c r="I29" s="680"/>
      <c r="J29" s="683">
        <f t="shared" si="10"/>
        <v>1.9999999999999999E-7</v>
      </c>
      <c r="K29" s="684"/>
      <c r="L29" s="110"/>
      <c r="M29" s="49">
        <v>3</v>
      </c>
      <c r="N29" s="680" t="str">
        <f t="shared" si="11"/>
        <v>3eme A</v>
      </c>
      <c r="O29" s="680"/>
      <c r="P29" s="683">
        <f t="shared" si="12"/>
        <v>1.9999999999999999E-7</v>
      </c>
      <c r="Q29" s="684"/>
      <c r="R29" s="774"/>
      <c r="S29" s="49">
        <v>3</v>
      </c>
      <c r="T29" s="680" t="str">
        <f t="shared" si="13"/>
        <v>1er A</v>
      </c>
      <c r="U29" s="680"/>
      <c r="V29" s="683">
        <f t="shared" si="14"/>
        <v>1.9999999999999999E-7</v>
      </c>
      <c r="W29" s="684"/>
    </row>
    <row r="30" spans="1:44" ht="15.75" thickBot="1" x14ac:dyDescent="0.3">
      <c r="A30" s="108">
        <v>4</v>
      </c>
      <c r="B30" s="841" t="str">
        <f>VLOOKUP($A30,$A$34:$D$37,2,FALSE)</f>
        <v>Equipe 4</v>
      </c>
      <c r="C30" s="842"/>
      <c r="D30" s="839">
        <f>VLOOKUP($A30,$A$34:$D$37,4,FALSE)</f>
        <v>9.9999999999999995E-8</v>
      </c>
      <c r="E30" s="840"/>
      <c r="F30" s="774"/>
      <c r="G30" s="108">
        <v>4</v>
      </c>
      <c r="H30" s="843" t="str">
        <f t="shared" si="9"/>
        <v>Equipe 8</v>
      </c>
      <c r="I30" s="843"/>
      <c r="J30" s="839">
        <f t="shared" si="10"/>
        <v>9.9999999999999995E-8</v>
      </c>
      <c r="K30" s="840"/>
      <c r="L30" s="110"/>
      <c r="M30" s="108">
        <v>4</v>
      </c>
      <c r="N30" s="843" t="str">
        <f t="shared" si="11"/>
        <v>4eme B</v>
      </c>
      <c r="O30" s="843"/>
      <c r="P30" s="839">
        <f t="shared" si="12"/>
        <v>9.9999999999999995E-8</v>
      </c>
      <c r="Q30" s="840"/>
      <c r="R30" s="774"/>
      <c r="S30" s="108">
        <v>4</v>
      </c>
      <c r="T30" s="843" t="str">
        <f t="shared" si="13"/>
        <v>2eme B</v>
      </c>
      <c r="U30" s="843"/>
      <c r="V30" s="839">
        <f t="shared" si="14"/>
        <v>9.9999999999999995E-8</v>
      </c>
      <c r="W30" s="840"/>
    </row>
    <row r="31" spans="1:44" ht="15.75" thickBot="1" x14ac:dyDescent="0.3">
      <c r="A31" s="768" t="s">
        <v>34</v>
      </c>
      <c r="B31" s="675"/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  <c r="T31" s="675"/>
      <c r="U31" s="675"/>
      <c r="V31" s="675"/>
      <c r="W31" s="676"/>
    </row>
    <row r="32" spans="1:44" ht="15.75" hidden="1" x14ac:dyDescent="0.25">
      <c r="A32" s="871" t="s">
        <v>14</v>
      </c>
      <c r="B32" s="871"/>
      <c r="C32" s="871"/>
      <c r="D32" s="871"/>
      <c r="E32" s="871"/>
      <c r="F32" s="871"/>
      <c r="G32" s="871"/>
      <c r="H32" s="871"/>
      <c r="I32" s="871"/>
      <c r="J32" s="871"/>
      <c r="K32" s="871"/>
      <c r="L32" s="51"/>
      <c r="M32" s="871" t="s">
        <v>14</v>
      </c>
      <c r="N32" s="871"/>
      <c r="O32" s="871"/>
      <c r="P32" s="871"/>
      <c r="Q32" s="871"/>
      <c r="R32" s="871"/>
      <c r="S32" s="871"/>
      <c r="T32" s="871"/>
      <c r="U32" s="871"/>
      <c r="V32" s="871"/>
      <c r="W32" s="871"/>
    </row>
    <row r="33" spans="1:23" hidden="1" x14ac:dyDescent="0.25">
      <c r="A33" s="52"/>
      <c r="B33" s="864" t="s">
        <v>1</v>
      </c>
      <c r="C33" s="864"/>
      <c r="D33" s="864" t="s">
        <v>15</v>
      </c>
      <c r="E33" s="864"/>
      <c r="F33" s="872"/>
      <c r="G33" s="52"/>
      <c r="H33" s="864" t="s">
        <v>2</v>
      </c>
      <c r="I33" s="864"/>
      <c r="J33" s="864" t="s">
        <v>15</v>
      </c>
      <c r="K33" s="864"/>
      <c r="L33" s="51"/>
      <c r="M33" s="52"/>
      <c r="N33" s="864" t="s">
        <v>1</v>
      </c>
      <c r="O33" s="864"/>
      <c r="P33" s="864" t="s">
        <v>15</v>
      </c>
      <c r="Q33" s="864"/>
      <c r="R33" s="872"/>
      <c r="S33" s="52"/>
      <c r="T33" s="864" t="s">
        <v>2</v>
      </c>
      <c r="U33" s="864"/>
      <c r="V33" s="864" t="s">
        <v>15</v>
      </c>
      <c r="W33" s="864"/>
    </row>
    <row r="34" spans="1:23" hidden="1" x14ac:dyDescent="0.25">
      <c r="A34" s="70">
        <f>RANK(D34,$D$34:$D$37)</f>
        <v>1</v>
      </c>
      <c r="B34" s="69" t="str">
        <f>B8</f>
        <v>Equipe 1</v>
      </c>
      <c r="C34" s="69">
        <f>D14-E14+D18-E18+D22-E22</f>
        <v>0</v>
      </c>
      <c r="D34" s="681">
        <f>D8+4/10000000</f>
        <v>3.9999999999999998E-7</v>
      </c>
      <c r="E34" s="681"/>
      <c r="F34" s="873"/>
      <c r="G34" s="70">
        <f>RANK(J34,$J$34:$J$37)</f>
        <v>1</v>
      </c>
      <c r="H34" s="69" t="str">
        <f>H8</f>
        <v>Equipe 5</v>
      </c>
      <c r="I34" s="69">
        <f>J14-K14+J18-K18+J22-K22</f>
        <v>0</v>
      </c>
      <c r="J34" s="681">
        <f>J8+4/10000000</f>
        <v>3.9999999999999998E-7</v>
      </c>
      <c r="K34" s="681"/>
      <c r="L34" s="51"/>
      <c r="M34" s="70">
        <f>RANK(P34,$P$34:$P$37)</f>
        <v>1</v>
      </c>
      <c r="N34" s="69" t="str">
        <f>N8</f>
        <v>4eme A</v>
      </c>
      <c r="O34" s="69">
        <f>P14-Q14+P18-Q18+P22-Q22</f>
        <v>0</v>
      </c>
      <c r="P34" s="681">
        <f>P8+4/10000000</f>
        <v>3.9999999999999998E-7</v>
      </c>
      <c r="Q34" s="681"/>
      <c r="R34" s="873"/>
      <c r="S34" s="70">
        <f>RANK(V34,$V$34:$V$37)</f>
        <v>1</v>
      </c>
      <c r="T34" s="69" t="str">
        <f>T8</f>
        <v>2eme A</v>
      </c>
      <c r="U34" s="69">
        <f>V14-W14+V18-W18+V22-W22</f>
        <v>0</v>
      </c>
      <c r="V34" s="681">
        <f>V8+4/10000000</f>
        <v>3.9999999999999998E-7</v>
      </c>
      <c r="W34" s="681"/>
    </row>
    <row r="35" spans="1:23" hidden="1" x14ac:dyDescent="0.25">
      <c r="A35" s="70">
        <f t="shared" ref="A35:A37" si="15">RANK(D35,$D$34:$D$37)</f>
        <v>2</v>
      </c>
      <c r="B35" s="69" t="str">
        <f>B9</f>
        <v>Equipe 2</v>
      </c>
      <c r="C35" s="69">
        <f>E14-D14+D19-E19+D23-E23</f>
        <v>0</v>
      </c>
      <c r="D35" s="681">
        <f>D9+3/10000000</f>
        <v>2.9999999999999999E-7</v>
      </c>
      <c r="E35" s="681"/>
      <c r="F35" s="873"/>
      <c r="G35" s="70">
        <f t="shared" ref="G35:G37" si="16">RANK(J35,$J$34:$J$37)</f>
        <v>2</v>
      </c>
      <c r="H35" s="69" t="str">
        <f>H9</f>
        <v>Equipe 6</v>
      </c>
      <c r="I35" s="69">
        <f>K14-J14+J19-K19+J23-K23</f>
        <v>0</v>
      </c>
      <c r="J35" s="681">
        <f>J9+3/10000000</f>
        <v>2.9999999999999999E-7</v>
      </c>
      <c r="K35" s="681"/>
      <c r="L35" s="51"/>
      <c r="M35" s="70">
        <f t="shared" ref="M35:M37" si="17">RANK(P35,$P$34:$P$37)</f>
        <v>2</v>
      </c>
      <c r="N35" s="69" t="str">
        <f>N9</f>
        <v>3eme B</v>
      </c>
      <c r="O35" s="69">
        <f>Q14-P14+P19-Q19+P23-Q23</f>
        <v>0</v>
      </c>
      <c r="P35" s="681">
        <f>P9+3/10000000</f>
        <v>2.9999999999999999E-7</v>
      </c>
      <c r="Q35" s="681"/>
      <c r="R35" s="873"/>
      <c r="S35" s="70">
        <f t="shared" ref="S35:S37" si="18">RANK(V35,$V$34:$V$37)</f>
        <v>2</v>
      </c>
      <c r="T35" s="69" t="str">
        <f>T9</f>
        <v>1er B</v>
      </c>
      <c r="U35" s="69">
        <f>W14-V14+V19-W19+V23-W23</f>
        <v>0</v>
      </c>
      <c r="V35" s="681">
        <f>V9+3/10000000</f>
        <v>2.9999999999999999E-7</v>
      </c>
      <c r="W35" s="681"/>
    </row>
    <row r="36" spans="1:23" hidden="1" x14ac:dyDescent="0.25">
      <c r="A36" s="70">
        <f t="shared" si="15"/>
        <v>3</v>
      </c>
      <c r="B36" s="69" t="str">
        <f>B10</f>
        <v>Equipe 3</v>
      </c>
      <c r="C36" s="69">
        <f>D15-E15+E18-D18+E23-D23</f>
        <v>0</v>
      </c>
      <c r="D36" s="681">
        <f>D10+2/10000000</f>
        <v>1.9999999999999999E-7</v>
      </c>
      <c r="E36" s="681"/>
      <c r="F36" s="873"/>
      <c r="G36" s="70">
        <f t="shared" si="16"/>
        <v>3</v>
      </c>
      <c r="H36" s="69" t="str">
        <f>H10</f>
        <v>Equipe 7</v>
      </c>
      <c r="I36" s="69">
        <f>J15-K15+K18-J18+K23-J23</f>
        <v>0</v>
      </c>
      <c r="J36" s="681">
        <f>J10+2/10000000</f>
        <v>1.9999999999999999E-7</v>
      </c>
      <c r="K36" s="681"/>
      <c r="L36" s="51"/>
      <c r="M36" s="70">
        <f t="shared" si="17"/>
        <v>3</v>
      </c>
      <c r="N36" s="69" t="str">
        <f>N10</f>
        <v>3eme A</v>
      </c>
      <c r="O36" s="69">
        <f>P15-Q15+Q18-P18+Q23-P23</f>
        <v>0</v>
      </c>
      <c r="P36" s="681">
        <f>P10+2/10000000</f>
        <v>1.9999999999999999E-7</v>
      </c>
      <c r="Q36" s="681"/>
      <c r="R36" s="873"/>
      <c r="S36" s="70">
        <f t="shared" si="18"/>
        <v>3</v>
      </c>
      <c r="T36" s="69" t="str">
        <f>T10</f>
        <v>1er A</v>
      </c>
      <c r="U36" s="69">
        <f>V15-W15+W18-V18+W23-V23</f>
        <v>0</v>
      </c>
      <c r="V36" s="681">
        <f>V10+2/10000000</f>
        <v>1.9999999999999999E-7</v>
      </c>
      <c r="W36" s="681"/>
    </row>
    <row r="37" spans="1:23" hidden="1" x14ac:dyDescent="0.25">
      <c r="A37" s="70">
        <f t="shared" si="15"/>
        <v>4</v>
      </c>
      <c r="B37" s="69" t="str">
        <f>B11</f>
        <v>Equipe 4</v>
      </c>
      <c r="C37" s="69">
        <f>E15-D15+E19-D19+E22-D22</f>
        <v>0</v>
      </c>
      <c r="D37" s="681">
        <f t="shared" ref="D37" si="19">D11+1/10000000</f>
        <v>9.9999999999999995E-8</v>
      </c>
      <c r="E37" s="681"/>
      <c r="F37" s="874"/>
      <c r="G37" s="70">
        <f t="shared" si="16"/>
        <v>4</v>
      </c>
      <c r="H37" s="69" t="str">
        <f>H11</f>
        <v>Equipe 8</v>
      </c>
      <c r="I37" s="69">
        <f>K15-J15+K19-J19+K22-J22</f>
        <v>0</v>
      </c>
      <c r="J37" s="681">
        <f t="shared" ref="J37" si="20">J11+1/10000000</f>
        <v>9.9999999999999995E-8</v>
      </c>
      <c r="K37" s="681"/>
      <c r="L37" s="51"/>
      <c r="M37" s="70">
        <f t="shared" si="17"/>
        <v>4</v>
      </c>
      <c r="N37" s="69" t="str">
        <f>N11</f>
        <v>4eme B</v>
      </c>
      <c r="O37" s="69">
        <f>Q15-P15+Q19-P19+Q22-P22</f>
        <v>0</v>
      </c>
      <c r="P37" s="681">
        <f t="shared" ref="P37" si="21">P11+1/10000000</f>
        <v>9.9999999999999995E-8</v>
      </c>
      <c r="Q37" s="681"/>
      <c r="R37" s="874"/>
      <c r="S37" s="70">
        <f t="shared" si="18"/>
        <v>4</v>
      </c>
      <c r="T37" s="69" t="str">
        <f>T11</f>
        <v>2eme B</v>
      </c>
      <c r="U37" s="69">
        <f>W15-V15+W19-V19+W22-V22</f>
        <v>0</v>
      </c>
      <c r="V37" s="681">
        <f t="shared" ref="V37" si="22">V11+1/10000000</f>
        <v>9.9999999999999995E-8</v>
      </c>
      <c r="W37" s="681"/>
    </row>
    <row r="38" spans="1:23" x14ac:dyDescent="0.25">
      <c r="A38" s="875" t="s">
        <v>112</v>
      </c>
      <c r="B38" s="875"/>
      <c r="C38" s="875"/>
      <c r="D38" s="875"/>
      <c r="E38" s="875"/>
      <c r="F38" s="875"/>
      <c r="G38" s="875"/>
      <c r="H38" s="875"/>
      <c r="I38" s="875"/>
      <c r="J38" s="875"/>
      <c r="K38" s="875"/>
      <c r="L38" s="875"/>
      <c r="M38" s="875"/>
      <c r="N38" s="875"/>
      <c r="O38" s="875"/>
      <c r="P38" s="875"/>
      <c r="Q38" s="875"/>
      <c r="R38" s="875"/>
      <c r="S38" s="875"/>
      <c r="T38" s="875"/>
      <c r="U38" s="875"/>
      <c r="V38" s="875"/>
      <c r="W38" s="875"/>
    </row>
  </sheetData>
  <sheetProtection sheet="1" scenarios="1" selectLockedCells="1"/>
  <mergeCells count="151">
    <mergeCell ref="A38:W38"/>
    <mergeCell ref="A31:W31"/>
    <mergeCell ref="E5:G5"/>
    <mergeCell ref="V36:W36"/>
    <mergeCell ref="P37:Q37"/>
    <mergeCell ref="V37:W37"/>
    <mergeCell ref="N33:O33"/>
    <mergeCell ref="P33:Q33"/>
    <mergeCell ref="R33:R37"/>
    <mergeCell ref="T33:U33"/>
    <mergeCell ref="V33:W33"/>
    <mergeCell ref="P34:Q34"/>
    <mergeCell ref="V34:W34"/>
    <mergeCell ref="P35:Q35"/>
    <mergeCell ref="V35:W35"/>
    <mergeCell ref="P36:Q36"/>
    <mergeCell ref="N30:O30"/>
    <mergeCell ref="P30:Q30"/>
    <mergeCell ref="T30:U30"/>
    <mergeCell ref="V30:W30"/>
    <mergeCell ref="M32:W32"/>
    <mergeCell ref="T28:U28"/>
    <mergeCell ref="V28:W28"/>
    <mergeCell ref="N29:O29"/>
    <mergeCell ref="T29:U29"/>
    <mergeCell ref="V29:W29"/>
    <mergeCell ref="D37:E37"/>
    <mergeCell ref="J37:K37"/>
    <mergeCell ref="M25:W25"/>
    <mergeCell ref="N26:O26"/>
    <mergeCell ref="P26:Q26"/>
    <mergeCell ref="R26:R30"/>
    <mergeCell ref="T26:U26"/>
    <mergeCell ref="V26:W26"/>
    <mergeCell ref="N27:O27"/>
    <mergeCell ref="P27:Q27"/>
    <mergeCell ref="T27:U27"/>
    <mergeCell ref="V27:W27"/>
    <mergeCell ref="N28:O28"/>
    <mergeCell ref="P28:Q28"/>
    <mergeCell ref="J35:K35"/>
    <mergeCell ref="D36:E36"/>
    <mergeCell ref="J36:K36"/>
    <mergeCell ref="A32:K32"/>
    <mergeCell ref="B33:C33"/>
    <mergeCell ref="D33:E33"/>
    <mergeCell ref="F33:F37"/>
    <mergeCell ref="H33:I33"/>
    <mergeCell ref="M6:O6"/>
    <mergeCell ref="P6:R6"/>
    <mergeCell ref="G6:H6"/>
    <mergeCell ref="S6:T6"/>
    <mergeCell ref="B9:C9"/>
    <mergeCell ref="H9:I9"/>
    <mergeCell ref="N9:O9"/>
    <mergeCell ref="T9:U9"/>
    <mergeCell ref="D8:E8"/>
    <mergeCell ref="J33:K33"/>
    <mergeCell ref="D34:E34"/>
    <mergeCell ref="J34:K34"/>
    <mergeCell ref="D35:E35"/>
    <mergeCell ref="A3:I3"/>
    <mergeCell ref="B7:C7"/>
    <mergeCell ref="H7:I7"/>
    <mergeCell ref="E4:G4"/>
    <mergeCell ref="J30:K30"/>
    <mergeCell ref="D6:F6"/>
    <mergeCell ref="A6:C6"/>
    <mergeCell ref="B8:C8"/>
    <mergeCell ref="D7:E7"/>
    <mergeCell ref="D13:E13"/>
    <mergeCell ref="D26:E26"/>
    <mergeCell ref="A25:K25"/>
    <mergeCell ref="B29:C29"/>
    <mergeCell ref="H29:I29"/>
    <mergeCell ref="B26:C26"/>
    <mergeCell ref="H26:I26"/>
    <mergeCell ref="B27:C27"/>
    <mergeCell ref="J26:K26"/>
    <mergeCell ref="J27:K27"/>
    <mergeCell ref="J28:K28"/>
    <mergeCell ref="J13:K13"/>
    <mergeCell ref="P13:Q13"/>
    <mergeCell ref="D17:E17"/>
    <mergeCell ref="J17:K17"/>
    <mergeCell ref="P17:Q17"/>
    <mergeCell ref="V7:W7"/>
    <mergeCell ref="P7:Q7"/>
    <mergeCell ref="J7:K7"/>
    <mergeCell ref="J11:K11"/>
    <mergeCell ref="J10:K10"/>
    <mergeCell ref="J9:K9"/>
    <mergeCell ref="J8:K8"/>
    <mergeCell ref="P8:Q8"/>
    <mergeCell ref="P9:Q9"/>
    <mergeCell ref="P10:Q10"/>
    <mergeCell ref="N8:O8"/>
    <mergeCell ref="T8:U8"/>
    <mergeCell ref="V8:W8"/>
    <mergeCell ref="V9:W9"/>
    <mergeCell ref="V10:W10"/>
    <mergeCell ref="V11:W11"/>
    <mergeCell ref="T7:U7"/>
    <mergeCell ref="D30:E30"/>
    <mergeCell ref="D29:E29"/>
    <mergeCell ref="D28:E28"/>
    <mergeCell ref="D27:E27"/>
    <mergeCell ref="F26:F30"/>
    <mergeCell ref="P21:Q21"/>
    <mergeCell ref="B30:C30"/>
    <mergeCell ref="H30:I30"/>
    <mergeCell ref="N10:O10"/>
    <mergeCell ref="D11:E11"/>
    <mergeCell ref="D10:E10"/>
    <mergeCell ref="B10:C10"/>
    <mergeCell ref="H10:I10"/>
    <mergeCell ref="N21:O21"/>
    <mergeCell ref="B11:C11"/>
    <mergeCell ref="H11:I11"/>
    <mergeCell ref="N11:O11"/>
    <mergeCell ref="P11:Q11"/>
    <mergeCell ref="D21:E21"/>
    <mergeCell ref="J21:K21"/>
    <mergeCell ref="B13:C13"/>
    <mergeCell ref="H13:I13"/>
    <mergeCell ref="N13:O13"/>
    <mergeCell ref="B17:C17"/>
    <mergeCell ref="L4:M4"/>
    <mergeCell ref="P29:Q29"/>
    <mergeCell ref="A1:T1"/>
    <mergeCell ref="V13:W13"/>
    <mergeCell ref="V17:W17"/>
    <mergeCell ref="V21:W21"/>
    <mergeCell ref="J29:K29"/>
    <mergeCell ref="H27:I27"/>
    <mergeCell ref="B28:C28"/>
    <mergeCell ref="H28:I28"/>
    <mergeCell ref="B21:C21"/>
    <mergeCell ref="H21:I21"/>
    <mergeCell ref="U1:W5"/>
    <mergeCell ref="L5:M5"/>
    <mergeCell ref="D9:E9"/>
    <mergeCell ref="H8:I8"/>
    <mergeCell ref="N7:O7"/>
    <mergeCell ref="T10:U10"/>
    <mergeCell ref="T11:U11"/>
    <mergeCell ref="T21:U21"/>
    <mergeCell ref="T13:U13"/>
    <mergeCell ref="H17:I17"/>
    <mergeCell ref="N17:O17"/>
    <mergeCell ref="T17:U1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7" orientation="landscape" horizontalDpi="300" verticalDpi="300" r:id="rId1"/>
  <ignoredErrors>
    <ignoredError sqref="B27" evalError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W49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24" width="11.5703125" style="1"/>
    <col min="25" max="44" width="5.85546875" style="1" hidden="1" customWidth="1"/>
    <col min="45" max="49" width="11.5703125" style="1" hidden="1" customWidth="1"/>
    <col min="50" max="55" width="11.5703125" style="1" customWidth="1"/>
    <col min="56" max="16384" width="11.5703125" style="1"/>
  </cols>
  <sheetData>
    <row r="1" spans="1:44" ht="24.95" customHeight="1" x14ac:dyDescent="0.25">
      <c r="A1" s="821" t="s">
        <v>163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3"/>
      <c r="U1" s="826"/>
      <c r="V1" s="827"/>
      <c r="W1" s="828"/>
    </row>
    <row r="2" spans="1:44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104"/>
      <c r="P2" s="218"/>
      <c r="Q2" s="218"/>
      <c r="R2" s="218"/>
      <c r="S2" s="218"/>
      <c r="T2" s="218"/>
      <c r="U2" s="829"/>
      <c r="V2" s="830"/>
      <c r="W2" s="831"/>
    </row>
    <row r="3" spans="1:44" ht="24.95" customHeight="1" thickBot="1" x14ac:dyDescent="0.3">
      <c r="A3" s="736" t="s">
        <v>164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104"/>
      <c r="P3" s="218"/>
      <c r="Q3" s="218"/>
      <c r="R3" s="218"/>
      <c r="S3" s="218"/>
      <c r="T3" s="218"/>
      <c r="U3" s="829"/>
      <c r="V3" s="830"/>
      <c r="W3" s="831"/>
    </row>
    <row r="4" spans="1:44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311"/>
      <c r="I4" s="264" t="s">
        <v>167</v>
      </c>
      <c r="J4" s="264"/>
      <c r="K4" s="312"/>
      <c r="L4" s="742">
        <f>(4*G6)+(4*S6)</f>
        <v>4.4444444444444446E-2</v>
      </c>
      <c r="M4" s="742"/>
      <c r="N4" s="264" t="s">
        <v>33</v>
      </c>
      <c r="O4" s="264"/>
      <c r="P4" s="218"/>
      <c r="Q4" s="218"/>
      <c r="R4" s="218"/>
      <c r="S4" s="218"/>
      <c r="T4" s="218"/>
      <c r="U4" s="829"/>
      <c r="V4" s="830"/>
      <c r="W4" s="831"/>
      <c r="X4" s="71"/>
      <c r="Y4" s="71"/>
      <c r="Z4" s="71"/>
    </row>
    <row r="5" spans="1:44" ht="24.95" customHeight="1" thickBot="1" x14ac:dyDescent="0.3">
      <c r="A5" s="263" t="s">
        <v>32</v>
      </c>
      <c r="B5" s="104"/>
      <c r="C5" s="104"/>
      <c r="D5" s="104"/>
      <c r="E5" s="876">
        <f>S32-A15+S6</f>
        <v>0.3041666666666657</v>
      </c>
      <c r="F5" s="876"/>
      <c r="G5" s="876"/>
      <c r="H5" s="104"/>
      <c r="I5" s="312" t="s">
        <v>79</v>
      </c>
      <c r="J5" s="312"/>
      <c r="K5" s="312"/>
      <c r="L5" s="687">
        <v>2.7777777777777776E-2</v>
      </c>
      <c r="M5" s="688"/>
      <c r="N5" s="104"/>
      <c r="O5" s="104"/>
      <c r="P5" s="218"/>
      <c r="Q5" s="218"/>
      <c r="R5" s="218"/>
      <c r="S5" s="218"/>
      <c r="T5" s="218"/>
      <c r="U5" s="832"/>
      <c r="V5" s="833"/>
      <c r="W5" s="834"/>
      <c r="Z5" s="3"/>
    </row>
    <row r="6" spans="1:44" ht="16.5" thickBot="1" x14ac:dyDescent="0.3">
      <c r="A6" s="701" t="s">
        <v>19</v>
      </c>
      <c r="B6" s="685"/>
      <c r="C6" s="685"/>
      <c r="D6" s="686" t="s">
        <v>18</v>
      </c>
      <c r="E6" s="686"/>
      <c r="F6" s="686"/>
      <c r="G6" s="782">
        <v>5.5555555555555558E-3</v>
      </c>
      <c r="H6" s="782"/>
      <c r="I6" s="276" t="s">
        <v>17</v>
      </c>
      <c r="J6" s="276"/>
      <c r="K6" s="276"/>
      <c r="L6" s="109"/>
      <c r="M6" s="685" t="s">
        <v>20</v>
      </c>
      <c r="N6" s="685"/>
      <c r="O6" s="685"/>
      <c r="P6" s="868" t="s">
        <v>18</v>
      </c>
      <c r="Q6" s="868"/>
      <c r="R6" s="868"/>
      <c r="S6" s="782">
        <v>5.5555555555555558E-3</v>
      </c>
      <c r="T6" s="782"/>
      <c r="U6" s="276" t="s">
        <v>17</v>
      </c>
      <c r="V6" s="276"/>
      <c r="W6" s="277"/>
    </row>
    <row r="7" spans="1:44" x14ac:dyDescent="0.25">
      <c r="A7" s="6"/>
      <c r="B7" s="744" t="s">
        <v>41</v>
      </c>
      <c r="C7" s="745"/>
      <c r="D7" s="744" t="s">
        <v>15</v>
      </c>
      <c r="E7" s="746"/>
      <c r="F7" s="102"/>
      <c r="G7" s="7"/>
      <c r="H7" s="747" t="s">
        <v>42</v>
      </c>
      <c r="I7" s="748"/>
      <c r="J7" s="747" t="s">
        <v>15</v>
      </c>
      <c r="K7" s="748"/>
      <c r="L7" s="110"/>
      <c r="M7" s="356"/>
      <c r="N7" s="804" t="s">
        <v>30</v>
      </c>
      <c r="O7" s="805"/>
      <c r="P7" s="852" t="s">
        <v>15</v>
      </c>
      <c r="Q7" s="853"/>
      <c r="R7" s="102"/>
      <c r="S7" s="9"/>
      <c r="T7" s="807" t="s">
        <v>31</v>
      </c>
      <c r="U7" s="808"/>
      <c r="V7" s="850" t="s">
        <v>15</v>
      </c>
      <c r="W7" s="851"/>
    </row>
    <row r="8" spans="1:44" x14ac:dyDescent="0.25">
      <c r="A8" s="10">
        <v>1</v>
      </c>
      <c r="B8" s="731" t="s">
        <v>22</v>
      </c>
      <c r="C8" s="732"/>
      <c r="D8" s="725">
        <f>Y15+Y19+Y23+Y27+C44/1000000</f>
        <v>0</v>
      </c>
      <c r="E8" s="726"/>
      <c r="F8" s="103"/>
      <c r="G8" s="11">
        <v>1</v>
      </c>
      <c r="H8" s="727" t="s">
        <v>27</v>
      </c>
      <c r="I8" s="728"/>
      <c r="J8" s="729">
        <f>AE15+AE19+AE23+AE27+I44/1000000</f>
        <v>0</v>
      </c>
      <c r="K8" s="881"/>
      <c r="L8" s="110"/>
      <c r="M8" s="357">
        <v>1</v>
      </c>
      <c r="N8" s="844" t="str">
        <f>IF(D15="","5eme A",B40)</f>
        <v>5eme A</v>
      </c>
      <c r="O8" s="845"/>
      <c r="P8" s="802">
        <f>AK15+AK19+AK23+AK27+O44/1000000</f>
        <v>0</v>
      </c>
      <c r="Q8" s="803"/>
      <c r="R8" s="103"/>
      <c r="S8" s="13">
        <v>1</v>
      </c>
      <c r="T8" s="835" t="str">
        <f>IF(D15="","2eme A",B37)</f>
        <v>2eme A</v>
      </c>
      <c r="U8" s="836"/>
      <c r="V8" s="798">
        <f>AQ15+AQ19+AQ23+AQ27+U44/1000000</f>
        <v>0</v>
      </c>
      <c r="W8" s="799"/>
    </row>
    <row r="9" spans="1:44" x14ac:dyDescent="0.25">
      <c r="A9" s="10">
        <v>2</v>
      </c>
      <c r="B9" s="731" t="s">
        <v>23</v>
      </c>
      <c r="C9" s="732"/>
      <c r="D9" s="725">
        <f>Z15+Y20+Y24+Y31+C45/1000000</f>
        <v>0</v>
      </c>
      <c r="E9" s="726"/>
      <c r="F9" s="103"/>
      <c r="G9" s="11">
        <v>2</v>
      </c>
      <c r="H9" s="727" t="s">
        <v>28</v>
      </c>
      <c r="I9" s="728"/>
      <c r="J9" s="729">
        <f>AF15+AE20+AE24+AE31+I45/1000000</f>
        <v>0</v>
      </c>
      <c r="K9" s="881"/>
      <c r="L9" s="110"/>
      <c r="M9" s="357">
        <v>2</v>
      </c>
      <c r="N9" s="844" t="str">
        <f>IF(D15="","4eme B",H39)</f>
        <v>4eme B</v>
      </c>
      <c r="O9" s="845"/>
      <c r="P9" s="802">
        <f>AL15+AK20+AK24+AK31+O45/1000000</f>
        <v>0</v>
      </c>
      <c r="Q9" s="803"/>
      <c r="R9" s="103"/>
      <c r="S9" s="13">
        <v>2</v>
      </c>
      <c r="T9" s="835" t="str">
        <f>IF(D15="","1er B",H36)</f>
        <v>1er B</v>
      </c>
      <c r="U9" s="836"/>
      <c r="V9" s="798">
        <f>AR15+AQ20+AQ24+AQ31+U45/1000000</f>
        <v>0</v>
      </c>
      <c r="W9" s="799"/>
      <c r="Y9" s="14"/>
    </row>
    <row r="10" spans="1:44" x14ac:dyDescent="0.25">
      <c r="A10" s="10">
        <v>3</v>
      </c>
      <c r="B10" s="731" t="s">
        <v>24</v>
      </c>
      <c r="C10" s="732"/>
      <c r="D10" s="725">
        <f>Y16+Z20+Z27+Y32+C46/1000000</f>
        <v>0</v>
      </c>
      <c r="E10" s="726"/>
      <c r="F10" s="103"/>
      <c r="G10" s="11">
        <v>3</v>
      </c>
      <c r="H10" s="727" t="s">
        <v>29</v>
      </c>
      <c r="I10" s="728"/>
      <c r="J10" s="729">
        <f>AE16+AF20+AF27+AE32+I46/1000000</f>
        <v>0</v>
      </c>
      <c r="K10" s="881"/>
      <c r="L10" s="110"/>
      <c r="M10" s="357">
        <v>3</v>
      </c>
      <c r="N10" s="844" t="str">
        <f>IF(D15="","4eme A",B39)</f>
        <v>4eme A</v>
      </c>
      <c r="O10" s="845"/>
      <c r="P10" s="802">
        <f>AK16+AL20+AL27+AK32+O46/1000000</f>
        <v>0</v>
      </c>
      <c r="Q10" s="803"/>
      <c r="R10" s="103"/>
      <c r="S10" s="13">
        <v>3</v>
      </c>
      <c r="T10" s="835" t="str">
        <f>IF(D15="","1er A",B36)</f>
        <v>1er A</v>
      </c>
      <c r="U10" s="836"/>
      <c r="V10" s="798">
        <f>AQ16+AR20+AR27+AQ32+U46/1000000</f>
        <v>0</v>
      </c>
      <c r="W10" s="799"/>
    </row>
    <row r="11" spans="1:44" x14ac:dyDescent="0.25">
      <c r="A11" s="306">
        <v>4</v>
      </c>
      <c r="B11" s="731" t="s">
        <v>25</v>
      </c>
      <c r="C11" s="884"/>
      <c r="D11" s="725">
        <f>Z16+Z23+Y28+Z31+C47/1000000</f>
        <v>0</v>
      </c>
      <c r="E11" s="726"/>
      <c r="F11" s="103"/>
      <c r="G11" s="307">
        <v>4</v>
      </c>
      <c r="H11" s="727" t="s">
        <v>37</v>
      </c>
      <c r="I11" s="885"/>
      <c r="J11" s="729">
        <f>AF16+AF23+AE28+AF31+I47/1000000</f>
        <v>0</v>
      </c>
      <c r="K11" s="881"/>
      <c r="L11" s="110"/>
      <c r="M11" s="358">
        <v>4</v>
      </c>
      <c r="N11" s="877" t="str">
        <f>IF(D15="","5eme B",H40)</f>
        <v>5eme B</v>
      </c>
      <c r="O11" s="878"/>
      <c r="P11" s="802">
        <f>AL16+AL23+AK28+AL31+O47/1000000</f>
        <v>0</v>
      </c>
      <c r="Q11" s="803"/>
      <c r="R11" s="103"/>
      <c r="S11" s="309">
        <v>4</v>
      </c>
      <c r="T11" s="879" t="str">
        <f>IF(D15="","2eme B",H37)</f>
        <v>2eme B</v>
      </c>
      <c r="U11" s="880"/>
      <c r="V11" s="798">
        <f>AR16+AR23+AQ28+AR31+U47/1000000</f>
        <v>0</v>
      </c>
      <c r="W11" s="799"/>
    </row>
    <row r="12" spans="1:44" ht="15.75" thickBot="1" x14ac:dyDescent="0.3">
      <c r="A12" s="15">
        <v>5</v>
      </c>
      <c r="B12" s="717" t="s">
        <v>26</v>
      </c>
      <c r="C12" s="718"/>
      <c r="D12" s="719">
        <f>Z19+Z24+Z28+Z32+C48/1000000</f>
        <v>0</v>
      </c>
      <c r="E12" s="720"/>
      <c r="F12" s="103"/>
      <c r="G12" s="16">
        <v>5</v>
      </c>
      <c r="H12" s="721" t="s">
        <v>38</v>
      </c>
      <c r="I12" s="722"/>
      <c r="J12" s="723">
        <f>AF19+AF24+AF28+AF32+I48/1000000</f>
        <v>0</v>
      </c>
      <c r="K12" s="888"/>
      <c r="L12" s="110"/>
      <c r="M12" s="359">
        <v>5</v>
      </c>
      <c r="N12" s="846" t="str">
        <f>IF(D16="","Moins bon 3e",IF(D38&lt;J38,B38,H38))</f>
        <v>Moins bon 3e</v>
      </c>
      <c r="O12" s="889"/>
      <c r="P12" s="794">
        <f>AL19+AL24+AL28+AL32+O48/1000000</f>
        <v>0</v>
      </c>
      <c r="Q12" s="795"/>
      <c r="R12" s="103"/>
      <c r="S12" s="18">
        <v>5</v>
      </c>
      <c r="T12" s="837" t="str">
        <f>IF(D15="","Meilleur 3e",IF(D38&gt;J38,B38,H38))</f>
        <v>Meilleur 3e</v>
      </c>
      <c r="U12" s="887"/>
      <c r="V12" s="790">
        <f>AR19+AR24+AR28+AR32+U48/1000000</f>
        <v>0</v>
      </c>
      <c r="W12" s="791"/>
    </row>
    <row r="13" spans="1:44" ht="15.75" thickBot="1" x14ac:dyDescent="0.3">
      <c r="A13" s="19"/>
      <c r="B13" s="2"/>
      <c r="C13" s="2"/>
      <c r="D13" s="2"/>
      <c r="E13" s="2"/>
      <c r="F13" s="2"/>
      <c r="G13" s="2"/>
      <c r="H13" s="2"/>
      <c r="I13" s="20"/>
      <c r="J13" s="2"/>
      <c r="K13" s="2"/>
      <c r="L13" s="110"/>
      <c r="M13" s="2"/>
      <c r="N13" s="2"/>
      <c r="O13" s="2"/>
      <c r="P13" s="2"/>
      <c r="Q13" s="2"/>
      <c r="R13" s="2"/>
      <c r="S13" s="2"/>
      <c r="T13" s="2"/>
      <c r="U13" s="2"/>
      <c r="V13" s="22"/>
      <c r="W13" s="23"/>
    </row>
    <row r="14" spans="1:44" s="29" customFormat="1" x14ac:dyDescent="0.25">
      <c r="A14" s="24"/>
      <c r="B14" s="713" t="s">
        <v>5</v>
      </c>
      <c r="C14" s="713"/>
      <c r="D14" s="713" t="s">
        <v>16</v>
      </c>
      <c r="E14" s="714"/>
      <c r="F14" s="25"/>
      <c r="G14" s="26"/>
      <c r="H14" s="715" t="s">
        <v>5</v>
      </c>
      <c r="I14" s="715"/>
      <c r="J14" s="715" t="s">
        <v>16</v>
      </c>
      <c r="K14" s="883"/>
      <c r="L14" s="111"/>
      <c r="M14" s="360"/>
      <c r="N14" s="786" t="s">
        <v>12</v>
      </c>
      <c r="O14" s="786"/>
      <c r="P14" s="786" t="s">
        <v>16</v>
      </c>
      <c r="Q14" s="787"/>
      <c r="R14" s="25"/>
      <c r="S14" s="28"/>
      <c r="T14" s="784" t="s">
        <v>12</v>
      </c>
      <c r="U14" s="784"/>
      <c r="V14" s="784" t="s">
        <v>16</v>
      </c>
      <c r="W14" s="785"/>
      <c r="Y14" s="1"/>
      <c r="Z14" s="1"/>
    </row>
    <row r="15" spans="1:44" x14ac:dyDescent="0.25">
      <c r="A15" s="30">
        <f>E4</f>
        <v>0.375</v>
      </c>
      <c r="B15" s="31" t="str">
        <f>B8</f>
        <v>Equipe 1</v>
      </c>
      <c r="C15" s="31" t="str">
        <f>B9</f>
        <v>Equipe 2</v>
      </c>
      <c r="D15" s="53"/>
      <c r="E15" s="54"/>
      <c r="F15" s="2"/>
      <c r="G15" s="32">
        <f>A16+$G$6+"00:02"</f>
        <v>0.38888888888888884</v>
      </c>
      <c r="H15" s="33" t="str">
        <f>H8</f>
        <v>Equipe 6</v>
      </c>
      <c r="I15" s="33" t="str">
        <f>H9</f>
        <v>Equipe 7</v>
      </c>
      <c r="J15" s="57"/>
      <c r="K15" s="354"/>
      <c r="L15" s="110"/>
      <c r="M15" s="361">
        <f>G32+$G$6+"00:02"+L5</f>
        <v>0.54166666666666619</v>
      </c>
      <c r="N15" s="35" t="str">
        <f>N8</f>
        <v>5eme A</v>
      </c>
      <c r="O15" s="35" t="str">
        <f>N9</f>
        <v>4eme B</v>
      </c>
      <c r="P15" s="61"/>
      <c r="Q15" s="62"/>
      <c r="R15" s="2"/>
      <c r="S15" s="36">
        <f>M16+$S$6+"00:02"</f>
        <v>0.55555555555555503</v>
      </c>
      <c r="T15" s="37" t="str">
        <f>T8</f>
        <v>2eme A</v>
      </c>
      <c r="U15" s="37" t="str">
        <f>T9</f>
        <v>1er B</v>
      </c>
      <c r="V15" s="65"/>
      <c r="W15" s="66"/>
      <c r="Y15" s="1">
        <f>IF(D15="",0,(IF(D15&gt;E15,3,IF(D15=E15,1,0))))</f>
        <v>0</v>
      </c>
      <c r="Z15" s="1">
        <f>IF(E15="",0,(IF(E15&gt;D15,3,IF(E15=D15,1,0))))</f>
        <v>0</v>
      </c>
      <c r="AE15" s="1">
        <f>IF(J15="",0,(IF(J15&gt;K15,3,IF(J15=K15,1,0))))</f>
        <v>0</v>
      </c>
      <c r="AF15" s="1">
        <f>IF(K15="",0,(IF(K15&gt;J15,3,IF(K15=J15,1,0))))</f>
        <v>0</v>
      </c>
      <c r="AK15" s="1">
        <f>IF(P15="",0,(IF(P15&gt;Q15,3,IF(P15=Q15,1,0))))</f>
        <v>0</v>
      </c>
      <c r="AL15" s="1">
        <f>IF(Q15="",0,(IF(Q15&gt;P15,3,IF(Q15=P15,1,0))))</f>
        <v>0</v>
      </c>
      <c r="AQ15" s="1">
        <f>IF(V15="",0,(IF(V15&gt;W15,3,IF(V15=W15,1,0))))</f>
        <v>0</v>
      </c>
      <c r="AR15" s="1">
        <f>IF(W15="",0,(IF(W15&gt;V15,3,IF(W15=V15,1,0))))</f>
        <v>0</v>
      </c>
    </row>
    <row r="16" spans="1:44" ht="15.75" thickBot="1" x14ac:dyDescent="0.3">
      <c r="A16" s="38">
        <f>A15+$G$6+"00:02"</f>
        <v>0.38194444444444442</v>
      </c>
      <c r="B16" s="39" t="str">
        <f>B10</f>
        <v>Equipe 3</v>
      </c>
      <c r="C16" s="39" t="str">
        <f>+B11</f>
        <v>Equipe 4</v>
      </c>
      <c r="D16" s="55"/>
      <c r="E16" s="56"/>
      <c r="F16" s="2"/>
      <c r="G16" s="40">
        <f>G15+$G$6+"00:02"</f>
        <v>0.39583333333333326</v>
      </c>
      <c r="H16" s="41" t="str">
        <f>H10</f>
        <v>Equipe 8</v>
      </c>
      <c r="I16" s="41" t="str">
        <f>+H11</f>
        <v>Equipe 9</v>
      </c>
      <c r="J16" s="59"/>
      <c r="K16" s="355"/>
      <c r="L16" s="110"/>
      <c r="M16" s="362">
        <f>M15+$S$6+"00:02"</f>
        <v>0.54861111111111061</v>
      </c>
      <c r="N16" s="43" t="str">
        <f>N10</f>
        <v>4eme A</v>
      </c>
      <c r="O16" s="43" t="str">
        <f>+N11</f>
        <v>5eme B</v>
      </c>
      <c r="P16" s="63"/>
      <c r="Q16" s="64"/>
      <c r="R16" s="2"/>
      <c r="S16" s="44">
        <f>S15+$S$6+"00:02"</f>
        <v>0.56249999999999944</v>
      </c>
      <c r="T16" s="45" t="str">
        <f>T10</f>
        <v>1er A</v>
      </c>
      <c r="U16" s="45" t="str">
        <f>+T11</f>
        <v>2eme B</v>
      </c>
      <c r="V16" s="67"/>
      <c r="W16" s="68"/>
      <c r="Y16" s="1">
        <f t="shared" ref="Y16:Y24" si="0">IF(D16="",0,(IF(D16&gt;E16,3,IF(D16=E16,1,0))))</f>
        <v>0</v>
      </c>
      <c r="Z16" s="1">
        <f t="shared" ref="Z16:Z24" si="1">IF(E16="",0,(IF(E16&gt;D16,3,IF(E16=D16,1,0))))</f>
        <v>0</v>
      </c>
      <c r="AE16" s="1">
        <f t="shared" ref="AE16:AE24" si="2">IF(J16="",0,(IF(J16&gt;K16,3,IF(J16=K16,1,0))))</f>
        <v>0</v>
      </c>
      <c r="AF16" s="1">
        <f t="shared" ref="AF16:AF24" si="3">IF(K16="",0,(IF(K16&gt;J16,3,IF(K16=J16,1,0))))</f>
        <v>0</v>
      </c>
      <c r="AK16" s="1">
        <f t="shared" ref="AK16:AK24" si="4">IF(P16="",0,(IF(P16&gt;Q16,3,IF(P16=Q16,1,0))))</f>
        <v>0</v>
      </c>
      <c r="AL16" s="1">
        <f t="shared" ref="AL16:AL24" si="5">IF(Q16="",0,(IF(Q16&gt;P16,3,IF(Q16=P16,1,0))))</f>
        <v>0</v>
      </c>
      <c r="AQ16" s="1">
        <f t="shared" ref="AQ16:AQ24" si="6">IF(V16="",0,(IF(V16&gt;W16,3,IF(V16=W16,1,0))))</f>
        <v>0</v>
      </c>
      <c r="AR16" s="1">
        <f t="shared" ref="AR16:AR24" si="7">IF(W16="",0,(IF(W16&gt;V16,3,IF(W16=V16,1,0))))</f>
        <v>0</v>
      </c>
    </row>
    <row r="17" spans="1:44" ht="15.75" thickBot="1" x14ac:dyDescent="0.3">
      <c r="A17" s="19"/>
      <c r="B17" s="2"/>
      <c r="C17" s="2"/>
      <c r="D17" s="281"/>
      <c r="E17" s="281"/>
      <c r="F17" s="2"/>
      <c r="G17" s="2"/>
      <c r="H17" s="2"/>
      <c r="I17" s="47"/>
      <c r="J17" s="281"/>
      <c r="K17" s="281"/>
      <c r="L17" s="110"/>
      <c r="M17" s="2"/>
      <c r="N17" s="2"/>
      <c r="O17" s="2"/>
      <c r="P17" s="281"/>
      <c r="Q17" s="281"/>
      <c r="R17" s="2"/>
      <c r="S17" s="2"/>
      <c r="T17" s="2"/>
      <c r="U17" s="2"/>
      <c r="V17" s="281"/>
      <c r="W17" s="280"/>
    </row>
    <row r="18" spans="1:44" s="29" customFormat="1" x14ac:dyDescent="0.25">
      <c r="A18" s="24"/>
      <c r="B18" s="713" t="s">
        <v>6</v>
      </c>
      <c r="C18" s="713"/>
      <c r="D18" s="713" t="s">
        <v>16</v>
      </c>
      <c r="E18" s="714"/>
      <c r="F18" s="25"/>
      <c r="G18" s="26"/>
      <c r="H18" s="715" t="s">
        <v>6</v>
      </c>
      <c r="I18" s="715"/>
      <c r="J18" s="715" t="s">
        <v>16</v>
      </c>
      <c r="K18" s="883"/>
      <c r="L18" s="111"/>
      <c r="M18" s="360"/>
      <c r="N18" s="786" t="s">
        <v>165</v>
      </c>
      <c r="O18" s="786"/>
      <c r="P18" s="786" t="s">
        <v>16</v>
      </c>
      <c r="Q18" s="787"/>
      <c r="R18" s="25"/>
      <c r="S18" s="28"/>
      <c r="T18" s="784" t="s">
        <v>165</v>
      </c>
      <c r="U18" s="784"/>
      <c r="V18" s="784" t="s">
        <v>16</v>
      </c>
      <c r="W18" s="785"/>
      <c r="Y18" s="1"/>
      <c r="Z18" s="1"/>
      <c r="AB18" s="1"/>
      <c r="AC18" s="1"/>
      <c r="AE18" s="1"/>
      <c r="AF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5">
      <c r="A19" s="30">
        <f>G16+$G$6+"00:02"</f>
        <v>0.40277777777777768</v>
      </c>
      <c r="B19" s="31" t="str">
        <f>B8</f>
        <v>Equipe 1</v>
      </c>
      <c r="C19" s="31" t="str">
        <f>B12</f>
        <v>Equipe 5</v>
      </c>
      <c r="D19" s="53"/>
      <c r="E19" s="54"/>
      <c r="F19" s="2"/>
      <c r="G19" s="32">
        <f>A20+$G$6+"00:02"</f>
        <v>0.41666666666666652</v>
      </c>
      <c r="H19" s="33" t="str">
        <f>H8</f>
        <v>Equipe 6</v>
      </c>
      <c r="I19" s="33" t="str">
        <f>H12</f>
        <v>Equipe 10</v>
      </c>
      <c r="J19" s="57"/>
      <c r="K19" s="354"/>
      <c r="L19" s="110"/>
      <c r="M19" s="361">
        <f>S16+$S$6+"00:02"</f>
        <v>0.56944444444444386</v>
      </c>
      <c r="N19" s="35" t="str">
        <f>N8</f>
        <v>5eme A</v>
      </c>
      <c r="O19" s="35" t="str">
        <f>N12</f>
        <v>Moins bon 3e</v>
      </c>
      <c r="P19" s="61"/>
      <c r="Q19" s="62"/>
      <c r="R19" s="2"/>
      <c r="S19" s="36">
        <f>M20+$S$6+"00:02"</f>
        <v>0.5833333333333327</v>
      </c>
      <c r="T19" s="37" t="str">
        <f>T8</f>
        <v>2eme A</v>
      </c>
      <c r="U19" s="37" t="str">
        <f>T12</f>
        <v>Meilleur 3e</v>
      </c>
      <c r="V19" s="65"/>
      <c r="W19" s="66"/>
      <c r="Y19" s="1">
        <f t="shared" si="0"/>
        <v>0</v>
      </c>
      <c r="Z19" s="1">
        <f t="shared" si="1"/>
        <v>0</v>
      </c>
      <c r="AE19" s="1">
        <f t="shared" si="2"/>
        <v>0</v>
      </c>
      <c r="AF19" s="1">
        <f t="shared" si="3"/>
        <v>0</v>
      </c>
      <c r="AK19" s="1">
        <f t="shared" si="4"/>
        <v>0</v>
      </c>
      <c r="AL19" s="1">
        <f t="shared" si="5"/>
        <v>0</v>
      </c>
      <c r="AQ19" s="1">
        <f t="shared" si="6"/>
        <v>0</v>
      </c>
      <c r="AR19" s="1">
        <f t="shared" si="7"/>
        <v>0</v>
      </c>
    </row>
    <row r="20" spans="1:44" ht="15.75" thickBot="1" x14ac:dyDescent="0.3">
      <c r="A20" s="38">
        <f>A19+$G$6+"00:02"</f>
        <v>0.4097222222222221</v>
      </c>
      <c r="B20" s="39" t="str">
        <f>B9</f>
        <v>Equipe 2</v>
      </c>
      <c r="C20" s="39" t="str">
        <f>B10</f>
        <v>Equipe 3</v>
      </c>
      <c r="D20" s="55"/>
      <c r="E20" s="56"/>
      <c r="F20" s="2"/>
      <c r="G20" s="40">
        <f>G19+$G$6+"00:02"</f>
        <v>0.42361111111111094</v>
      </c>
      <c r="H20" s="41" t="str">
        <f>H9</f>
        <v>Equipe 7</v>
      </c>
      <c r="I20" s="41" t="str">
        <f>H10</f>
        <v>Equipe 8</v>
      </c>
      <c r="J20" s="59"/>
      <c r="K20" s="355"/>
      <c r="L20" s="110"/>
      <c r="M20" s="362">
        <f>M19+$S$6+"00:02"</f>
        <v>0.57638888888888828</v>
      </c>
      <c r="N20" s="43" t="str">
        <f>N9</f>
        <v>4eme B</v>
      </c>
      <c r="O20" s="43" t="str">
        <f>N10</f>
        <v>4eme A</v>
      </c>
      <c r="P20" s="63"/>
      <c r="Q20" s="64"/>
      <c r="R20" s="2"/>
      <c r="S20" s="44">
        <f>S19+$S$6+"00:02"</f>
        <v>0.59027777777777712</v>
      </c>
      <c r="T20" s="45" t="str">
        <f>T9</f>
        <v>1er B</v>
      </c>
      <c r="U20" s="45" t="str">
        <f>T10</f>
        <v>1er A</v>
      </c>
      <c r="V20" s="67"/>
      <c r="W20" s="68"/>
      <c r="Y20" s="1">
        <f t="shared" si="0"/>
        <v>0</v>
      </c>
      <c r="Z20" s="1">
        <f t="shared" si="1"/>
        <v>0</v>
      </c>
      <c r="AE20" s="1">
        <f t="shared" si="2"/>
        <v>0</v>
      </c>
      <c r="AF20" s="1">
        <f t="shared" si="3"/>
        <v>0</v>
      </c>
      <c r="AK20" s="1">
        <f t="shared" si="4"/>
        <v>0</v>
      </c>
      <c r="AL20" s="1">
        <f t="shared" si="5"/>
        <v>0</v>
      </c>
      <c r="AQ20" s="1">
        <f t="shared" si="6"/>
        <v>0</v>
      </c>
      <c r="AR20" s="1">
        <f t="shared" si="7"/>
        <v>0</v>
      </c>
    </row>
    <row r="21" spans="1:44" ht="15.75" thickBot="1" x14ac:dyDescent="0.3">
      <c r="A21" s="19"/>
      <c r="B21" s="2"/>
      <c r="C21" s="2"/>
      <c r="D21" s="281"/>
      <c r="E21" s="281"/>
      <c r="F21" s="2"/>
      <c r="G21" s="2"/>
      <c r="H21" s="2"/>
      <c r="I21" s="47"/>
      <c r="J21" s="281"/>
      <c r="K21" s="281"/>
      <c r="L21" s="110"/>
      <c r="M21" s="2"/>
      <c r="N21" s="2"/>
      <c r="O21" s="2"/>
      <c r="P21" s="281"/>
      <c r="Q21" s="281"/>
      <c r="R21" s="2"/>
      <c r="S21" s="2"/>
      <c r="T21" s="2"/>
      <c r="U21" s="2"/>
      <c r="V21" s="281"/>
      <c r="W21" s="280"/>
    </row>
    <row r="22" spans="1:44" s="29" customFormat="1" x14ac:dyDescent="0.25">
      <c r="A22" s="24"/>
      <c r="B22" s="713" t="s">
        <v>7</v>
      </c>
      <c r="C22" s="713"/>
      <c r="D22" s="713" t="s">
        <v>16</v>
      </c>
      <c r="E22" s="714"/>
      <c r="F22" s="25"/>
      <c r="G22" s="26"/>
      <c r="H22" s="715" t="s">
        <v>7</v>
      </c>
      <c r="I22" s="715"/>
      <c r="J22" s="715" t="s">
        <v>16</v>
      </c>
      <c r="K22" s="883"/>
      <c r="L22" s="111"/>
      <c r="M22" s="360"/>
      <c r="N22" s="786" t="s">
        <v>166</v>
      </c>
      <c r="O22" s="786"/>
      <c r="P22" s="786" t="s">
        <v>16</v>
      </c>
      <c r="Q22" s="787"/>
      <c r="R22" s="25"/>
      <c r="S22" s="28"/>
      <c r="T22" s="784" t="s">
        <v>166</v>
      </c>
      <c r="U22" s="784"/>
      <c r="V22" s="784" t="s">
        <v>16</v>
      </c>
      <c r="W22" s="785"/>
      <c r="Y22" s="1"/>
      <c r="Z22" s="1"/>
      <c r="AB22" s="1"/>
      <c r="AC22" s="1"/>
      <c r="AE22" s="1"/>
      <c r="AF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5">
      <c r="A23" s="30">
        <f>G20+$G$6+"00:02"</f>
        <v>0.43055555555555536</v>
      </c>
      <c r="B23" s="31" t="str">
        <f>B8</f>
        <v>Equipe 1</v>
      </c>
      <c r="C23" s="31" t="str">
        <f>B11</f>
        <v>Equipe 4</v>
      </c>
      <c r="D23" s="53"/>
      <c r="E23" s="54"/>
      <c r="F23" s="2"/>
      <c r="G23" s="32">
        <f>A24+$G$6+"00:02"</f>
        <v>0.4444444444444442</v>
      </c>
      <c r="H23" s="33" t="str">
        <f>H8</f>
        <v>Equipe 6</v>
      </c>
      <c r="I23" s="33" t="str">
        <f>H11</f>
        <v>Equipe 9</v>
      </c>
      <c r="J23" s="57"/>
      <c r="K23" s="354"/>
      <c r="L23" s="110"/>
      <c r="M23" s="361">
        <f>S20+$S$6+"00:02"</f>
        <v>0.59722222222222154</v>
      </c>
      <c r="N23" s="35" t="str">
        <f>N8</f>
        <v>5eme A</v>
      </c>
      <c r="O23" s="35" t="str">
        <f>N11</f>
        <v>5eme B</v>
      </c>
      <c r="P23" s="61"/>
      <c r="Q23" s="62"/>
      <c r="R23" s="2"/>
      <c r="S23" s="36">
        <f>M24+$S$6+"00:02"</f>
        <v>0.61111111111111038</v>
      </c>
      <c r="T23" s="37" t="str">
        <f>T8</f>
        <v>2eme A</v>
      </c>
      <c r="U23" s="37" t="str">
        <f>T11</f>
        <v>2eme B</v>
      </c>
      <c r="V23" s="65"/>
      <c r="W23" s="66"/>
      <c r="Y23" s="1">
        <f t="shared" si="0"/>
        <v>0</v>
      </c>
      <c r="Z23" s="1">
        <f t="shared" si="1"/>
        <v>0</v>
      </c>
      <c r="AE23" s="1">
        <f t="shared" si="2"/>
        <v>0</v>
      </c>
      <c r="AF23" s="1">
        <f t="shared" si="3"/>
        <v>0</v>
      </c>
      <c r="AK23" s="1">
        <f t="shared" si="4"/>
        <v>0</v>
      </c>
      <c r="AL23" s="1">
        <f t="shared" si="5"/>
        <v>0</v>
      </c>
      <c r="AQ23" s="1">
        <f t="shared" si="6"/>
        <v>0</v>
      </c>
      <c r="AR23" s="1">
        <f t="shared" si="7"/>
        <v>0</v>
      </c>
    </row>
    <row r="24" spans="1:44" ht="15.75" thickBot="1" x14ac:dyDescent="0.3">
      <c r="A24" s="38">
        <f>A23+$G$6+"00:02"</f>
        <v>0.43749999999999978</v>
      </c>
      <c r="B24" s="39" t="str">
        <f>B9</f>
        <v>Equipe 2</v>
      </c>
      <c r="C24" s="39" t="str">
        <f>B12</f>
        <v>Equipe 5</v>
      </c>
      <c r="D24" s="55"/>
      <c r="E24" s="56"/>
      <c r="F24" s="2"/>
      <c r="G24" s="40">
        <f>G23+$G$6+"00:02"</f>
        <v>0.45138888888888862</v>
      </c>
      <c r="H24" s="41" t="str">
        <f>H9</f>
        <v>Equipe 7</v>
      </c>
      <c r="I24" s="41" t="str">
        <f>H12</f>
        <v>Equipe 10</v>
      </c>
      <c r="J24" s="59"/>
      <c r="K24" s="355"/>
      <c r="L24" s="110"/>
      <c r="M24" s="362">
        <f>M23+$S$6+"00:02"</f>
        <v>0.60416666666666596</v>
      </c>
      <c r="N24" s="43" t="str">
        <f>N9</f>
        <v>4eme B</v>
      </c>
      <c r="O24" s="43" t="str">
        <f>N12</f>
        <v>Moins bon 3e</v>
      </c>
      <c r="P24" s="63"/>
      <c r="Q24" s="64"/>
      <c r="R24" s="2"/>
      <c r="S24" s="44">
        <f>S23+$S$6+"00:02"</f>
        <v>0.6180555555555548</v>
      </c>
      <c r="T24" s="45" t="str">
        <f>T9</f>
        <v>1er B</v>
      </c>
      <c r="U24" s="45" t="str">
        <f>T12</f>
        <v>Meilleur 3e</v>
      </c>
      <c r="V24" s="67"/>
      <c r="W24" s="68"/>
      <c r="Y24" s="1">
        <f t="shared" si="0"/>
        <v>0</v>
      </c>
      <c r="Z24" s="1">
        <f t="shared" si="1"/>
        <v>0</v>
      </c>
      <c r="AE24" s="1">
        <f t="shared" si="2"/>
        <v>0</v>
      </c>
      <c r="AF24" s="1">
        <f t="shared" si="3"/>
        <v>0</v>
      </c>
      <c r="AK24" s="1">
        <f t="shared" si="4"/>
        <v>0</v>
      </c>
      <c r="AL24" s="1">
        <f t="shared" si="5"/>
        <v>0</v>
      </c>
      <c r="AQ24" s="1">
        <f t="shared" si="6"/>
        <v>0</v>
      </c>
      <c r="AR24" s="1">
        <f t="shared" si="7"/>
        <v>0</v>
      </c>
    </row>
    <row r="25" spans="1:44" ht="15.75" thickBot="1" x14ac:dyDescent="0.3">
      <c r="A25" s="163"/>
      <c r="B25" s="138"/>
      <c r="C25" s="138"/>
      <c r="D25" s="161"/>
      <c r="E25" s="161"/>
      <c r="F25" s="85"/>
      <c r="G25" s="137"/>
      <c r="H25" s="138"/>
      <c r="I25" s="138"/>
      <c r="J25" s="161"/>
      <c r="K25" s="161"/>
      <c r="L25" s="110"/>
      <c r="M25" s="137"/>
      <c r="N25" s="138"/>
      <c r="O25" s="138"/>
      <c r="P25" s="161"/>
      <c r="Q25" s="161"/>
      <c r="R25" s="85"/>
      <c r="S25" s="137"/>
      <c r="T25" s="138"/>
      <c r="U25" s="138"/>
      <c r="V25" s="161"/>
      <c r="W25" s="162"/>
    </row>
    <row r="26" spans="1:44" s="29" customFormat="1" x14ac:dyDescent="0.25">
      <c r="A26" s="24"/>
      <c r="B26" s="713" t="s">
        <v>10</v>
      </c>
      <c r="C26" s="713"/>
      <c r="D26" s="713" t="s">
        <v>16</v>
      </c>
      <c r="E26" s="714"/>
      <c r="F26" s="25"/>
      <c r="G26" s="26"/>
      <c r="H26" s="715" t="s">
        <v>10</v>
      </c>
      <c r="I26" s="715"/>
      <c r="J26" s="715" t="s">
        <v>16</v>
      </c>
      <c r="K26" s="883"/>
      <c r="L26" s="111"/>
      <c r="M26" s="360"/>
      <c r="N26" s="786" t="s">
        <v>228</v>
      </c>
      <c r="O26" s="786"/>
      <c r="P26" s="786" t="s">
        <v>16</v>
      </c>
      <c r="Q26" s="787"/>
      <c r="R26" s="25"/>
      <c r="S26" s="28"/>
      <c r="T26" s="784" t="s">
        <v>228</v>
      </c>
      <c r="U26" s="784"/>
      <c r="V26" s="784" t="s">
        <v>16</v>
      </c>
      <c r="W26" s="785"/>
      <c r="Y26" s="1"/>
      <c r="Z26" s="1"/>
      <c r="AB26" s="1"/>
      <c r="AC26" s="1"/>
      <c r="AE26" s="1"/>
      <c r="AF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5">
      <c r="A27" s="30">
        <f>G24+$G$6+"00:02"</f>
        <v>0.45833333333333304</v>
      </c>
      <c r="B27" s="31" t="str">
        <f>B8</f>
        <v>Equipe 1</v>
      </c>
      <c r="C27" s="31" t="str">
        <f>B10</f>
        <v>Equipe 3</v>
      </c>
      <c r="D27" s="53"/>
      <c r="E27" s="54"/>
      <c r="F27" s="2"/>
      <c r="G27" s="32">
        <f>A28+$G$6+"00:02"</f>
        <v>0.47222222222222188</v>
      </c>
      <c r="H27" s="33" t="str">
        <f>H8</f>
        <v>Equipe 6</v>
      </c>
      <c r="I27" s="33" t="str">
        <f>H10</f>
        <v>Equipe 8</v>
      </c>
      <c r="J27" s="57"/>
      <c r="K27" s="354"/>
      <c r="L27" s="110"/>
      <c r="M27" s="361">
        <f>S24+$S$6+"00:02"</f>
        <v>0.62499999999999922</v>
      </c>
      <c r="N27" s="35" t="str">
        <f>N8</f>
        <v>5eme A</v>
      </c>
      <c r="O27" s="35" t="str">
        <f>N10</f>
        <v>4eme A</v>
      </c>
      <c r="P27" s="61"/>
      <c r="Q27" s="62"/>
      <c r="R27" s="2"/>
      <c r="S27" s="36">
        <f>M28+$S$6+"00:02"</f>
        <v>0.63888888888888806</v>
      </c>
      <c r="T27" s="37" t="str">
        <f>T8</f>
        <v>2eme A</v>
      </c>
      <c r="U27" s="37" t="str">
        <f>T10</f>
        <v>1er A</v>
      </c>
      <c r="V27" s="65"/>
      <c r="W27" s="66"/>
      <c r="Y27" s="1">
        <f t="shared" ref="Y27:Y28" si="8">IF(D27="",0,(IF(D27&gt;E27,3,IF(D27=E27,1,0))))</f>
        <v>0</v>
      </c>
      <c r="Z27" s="1">
        <f t="shared" ref="Z27:Z28" si="9">IF(E27="",0,(IF(E27&gt;D27,3,IF(E27=D27,1,0))))</f>
        <v>0</v>
      </c>
      <c r="AE27" s="1">
        <f t="shared" ref="AE27:AE28" si="10">IF(J27="",0,(IF(J27&gt;K27,3,IF(J27=K27,1,0))))</f>
        <v>0</v>
      </c>
      <c r="AF27" s="1">
        <f t="shared" ref="AF27:AF28" si="11">IF(K27="",0,(IF(K27&gt;J27,3,IF(K27=J27,1,0))))</f>
        <v>0</v>
      </c>
      <c r="AK27" s="1">
        <f t="shared" ref="AK27:AK28" si="12">IF(P27="",0,(IF(P27&gt;Q27,3,IF(P27=Q27,1,0))))</f>
        <v>0</v>
      </c>
      <c r="AL27" s="1">
        <f t="shared" ref="AL27:AL28" si="13">IF(Q27="",0,(IF(Q27&gt;P27,3,IF(Q27=P27,1,0))))</f>
        <v>0</v>
      </c>
      <c r="AQ27" s="1">
        <f t="shared" ref="AQ27:AQ28" si="14">IF(V27="",0,(IF(V27&gt;W27,3,IF(V27=W27,1,0))))</f>
        <v>0</v>
      </c>
      <c r="AR27" s="1">
        <f t="shared" ref="AR27:AR28" si="15">IF(W27="",0,(IF(W27&gt;V27,3,IF(W27=V27,1,0))))</f>
        <v>0</v>
      </c>
    </row>
    <row r="28" spans="1:44" ht="15.75" thickBot="1" x14ac:dyDescent="0.3">
      <c r="A28" s="38">
        <f>A27+$G$6+"00:02"</f>
        <v>0.46527777777777746</v>
      </c>
      <c r="B28" s="39" t="str">
        <f>B11</f>
        <v>Equipe 4</v>
      </c>
      <c r="C28" s="39" t="str">
        <f>B12</f>
        <v>Equipe 5</v>
      </c>
      <c r="D28" s="55"/>
      <c r="E28" s="56"/>
      <c r="F28" s="2"/>
      <c r="G28" s="40">
        <f>G27+$G$6+"00:02"</f>
        <v>0.4791666666666663</v>
      </c>
      <c r="H28" s="41" t="str">
        <f>H11</f>
        <v>Equipe 9</v>
      </c>
      <c r="I28" s="41" t="str">
        <f>H12</f>
        <v>Equipe 10</v>
      </c>
      <c r="J28" s="59"/>
      <c r="K28" s="355"/>
      <c r="L28" s="110"/>
      <c r="M28" s="362">
        <f>M27+$S$6+"00:02"</f>
        <v>0.63194444444444364</v>
      </c>
      <c r="N28" s="43" t="str">
        <f>N11</f>
        <v>5eme B</v>
      </c>
      <c r="O28" s="43" t="str">
        <f>N12</f>
        <v>Moins bon 3e</v>
      </c>
      <c r="P28" s="63"/>
      <c r="Q28" s="64"/>
      <c r="R28" s="2"/>
      <c r="S28" s="44">
        <f>S27+$S$6+"00:02"</f>
        <v>0.64583333333333248</v>
      </c>
      <c r="T28" s="45" t="str">
        <f>T11</f>
        <v>2eme B</v>
      </c>
      <c r="U28" s="45" t="str">
        <f>T12</f>
        <v>Meilleur 3e</v>
      </c>
      <c r="V28" s="67"/>
      <c r="W28" s="68"/>
      <c r="Y28" s="1">
        <f t="shared" si="8"/>
        <v>0</v>
      </c>
      <c r="Z28" s="1">
        <f t="shared" si="9"/>
        <v>0</v>
      </c>
      <c r="AE28" s="1">
        <f t="shared" si="10"/>
        <v>0</v>
      </c>
      <c r="AF28" s="1">
        <f t="shared" si="11"/>
        <v>0</v>
      </c>
      <c r="AK28" s="1">
        <f t="shared" si="12"/>
        <v>0</v>
      </c>
      <c r="AL28" s="1">
        <f t="shared" si="13"/>
        <v>0</v>
      </c>
      <c r="AQ28" s="1">
        <f t="shared" si="14"/>
        <v>0</v>
      </c>
      <c r="AR28" s="1">
        <f t="shared" si="15"/>
        <v>0</v>
      </c>
    </row>
    <row r="29" spans="1:44" ht="15.75" thickBot="1" x14ac:dyDescent="0.3">
      <c r="A29" s="163"/>
      <c r="B29" s="138"/>
      <c r="C29" s="138"/>
      <c r="D29" s="161"/>
      <c r="E29" s="161"/>
      <c r="F29" s="85"/>
      <c r="G29" s="137"/>
      <c r="H29" s="138"/>
      <c r="I29" s="138"/>
      <c r="J29" s="161"/>
      <c r="K29" s="161"/>
      <c r="L29" s="110"/>
      <c r="M29" s="137"/>
      <c r="N29" s="138"/>
      <c r="O29" s="138"/>
      <c r="P29" s="161"/>
      <c r="Q29" s="161"/>
      <c r="R29" s="85"/>
      <c r="S29" s="137"/>
      <c r="T29" s="138"/>
      <c r="U29" s="138"/>
      <c r="V29" s="161"/>
      <c r="W29" s="162"/>
    </row>
    <row r="30" spans="1:44" s="29" customFormat="1" x14ac:dyDescent="0.25">
      <c r="A30" s="24"/>
      <c r="B30" s="713" t="s">
        <v>11</v>
      </c>
      <c r="C30" s="713"/>
      <c r="D30" s="713" t="s">
        <v>16</v>
      </c>
      <c r="E30" s="714"/>
      <c r="F30" s="25"/>
      <c r="G30" s="26"/>
      <c r="H30" s="715" t="s">
        <v>11</v>
      </c>
      <c r="I30" s="715"/>
      <c r="J30" s="715" t="s">
        <v>16</v>
      </c>
      <c r="K30" s="883"/>
      <c r="L30" s="111"/>
      <c r="M30" s="360"/>
      <c r="N30" s="786" t="s">
        <v>229</v>
      </c>
      <c r="O30" s="786"/>
      <c r="P30" s="786" t="s">
        <v>16</v>
      </c>
      <c r="Q30" s="787"/>
      <c r="R30" s="25"/>
      <c r="S30" s="28"/>
      <c r="T30" s="784" t="s">
        <v>229</v>
      </c>
      <c r="U30" s="784"/>
      <c r="V30" s="784" t="s">
        <v>16</v>
      </c>
      <c r="W30" s="785"/>
      <c r="Y30" s="1"/>
      <c r="Z30" s="1"/>
      <c r="AB30" s="1"/>
      <c r="AC30" s="1"/>
      <c r="AE30" s="1"/>
      <c r="AF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5">
      <c r="A31" s="30">
        <f>G28+$G$6+"00:02"</f>
        <v>0.48611111111111072</v>
      </c>
      <c r="B31" s="31" t="str">
        <f>B9</f>
        <v>Equipe 2</v>
      </c>
      <c r="C31" s="31" t="str">
        <f>B11</f>
        <v>Equipe 4</v>
      </c>
      <c r="D31" s="53"/>
      <c r="E31" s="54"/>
      <c r="F31" s="2"/>
      <c r="G31" s="32">
        <f>A32+$G$6+"00:02"</f>
        <v>0.49999999999999956</v>
      </c>
      <c r="H31" s="33" t="str">
        <f>H9</f>
        <v>Equipe 7</v>
      </c>
      <c r="I31" s="33" t="str">
        <f>H11</f>
        <v>Equipe 9</v>
      </c>
      <c r="J31" s="57"/>
      <c r="K31" s="354"/>
      <c r="L31" s="110"/>
      <c r="M31" s="361">
        <f>S28+$S$6+"00:02"</f>
        <v>0.6527777777777769</v>
      </c>
      <c r="N31" s="35" t="str">
        <f>N9</f>
        <v>4eme B</v>
      </c>
      <c r="O31" s="35" t="str">
        <f>N11</f>
        <v>5eme B</v>
      </c>
      <c r="P31" s="61"/>
      <c r="Q31" s="62"/>
      <c r="R31" s="2"/>
      <c r="S31" s="36">
        <f>M32+$S$6+"00:02"</f>
        <v>0.66666666666666574</v>
      </c>
      <c r="T31" s="37" t="str">
        <f>T9</f>
        <v>1er B</v>
      </c>
      <c r="U31" s="37" t="str">
        <f>T11</f>
        <v>2eme B</v>
      </c>
      <c r="V31" s="65"/>
      <c r="W31" s="66"/>
      <c r="Y31" s="1">
        <f t="shared" ref="Y31:Y32" si="16">IF(D31="",0,(IF(D31&gt;E31,3,IF(D31=E31,1,0))))</f>
        <v>0</v>
      </c>
      <c r="Z31" s="1">
        <f t="shared" ref="Z31:Z32" si="17">IF(E31="",0,(IF(E31&gt;D31,3,IF(E31=D31,1,0))))</f>
        <v>0</v>
      </c>
      <c r="AE31" s="1">
        <f t="shared" ref="AE31:AE32" si="18">IF(J31="",0,(IF(J31&gt;K31,3,IF(J31=K31,1,0))))</f>
        <v>0</v>
      </c>
      <c r="AF31" s="1">
        <f t="shared" ref="AF31:AF32" si="19">IF(K31="",0,(IF(K31&gt;J31,3,IF(K31=J31,1,0))))</f>
        <v>0</v>
      </c>
      <c r="AK31" s="1">
        <f t="shared" ref="AK31:AK32" si="20">IF(P31="",0,(IF(P31&gt;Q31,3,IF(P31=Q31,1,0))))</f>
        <v>0</v>
      </c>
      <c r="AL31" s="1">
        <f t="shared" ref="AL31:AL32" si="21">IF(Q31="",0,(IF(Q31&gt;P31,3,IF(Q31=P31,1,0))))</f>
        <v>0</v>
      </c>
      <c r="AQ31" s="1">
        <f t="shared" ref="AQ31:AQ32" si="22">IF(V31="",0,(IF(V31&gt;W31,3,IF(V31=W31,1,0))))</f>
        <v>0</v>
      </c>
      <c r="AR31" s="1">
        <f t="shared" ref="AR31:AR32" si="23">IF(W31="",0,(IF(W31&gt;V31,3,IF(W31=V31,1,0))))</f>
        <v>0</v>
      </c>
    </row>
    <row r="32" spans="1:44" ht="15.75" thickBot="1" x14ac:dyDescent="0.3">
      <c r="A32" s="38">
        <f>A31+$G$6+"00:02"</f>
        <v>0.49305555555555514</v>
      </c>
      <c r="B32" s="39" t="str">
        <f>B10</f>
        <v>Equipe 3</v>
      </c>
      <c r="C32" s="39" t="str">
        <f>B12</f>
        <v>Equipe 5</v>
      </c>
      <c r="D32" s="55"/>
      <c r="E32" s="56"/>
      <c r="F32" s="47"/>
      <c r="G32" s="40">
        <f>G31+$G$6+"00:02"</f>
        <v>0.50694444444444398</v>
      </c>
      <c r="H32" s="41" t="str">
        <f>H10</f>
        <v>Equipe 8</v>
      </c>
      <c r="I32" s="41" t="str">
        <f>H12</f>
        <v>Equipe 10</v>
      </c>
      <c r="J32" s="59"/>
      <c r="K32" s="355"/>
      <c r="L32" s="110"/>
      <c r="M32" s="362">
        <f>M31+$S$6+"00:02"</f>
        <v>0.65972222222222132</v>
      </c>
      <c r="N32" s="43" t="str">
        <f>N10</f>
        <v>4eme A</v>
      </c>
      <c r="O32" s="43" t="str">
        <f>N12</f>
        <v>Moins bon 3e</v>
      </c>
      <c r="P32" s="63"/>
      <c r="Q32" s="64"/>
      <c r="R32" s="47"/>
      <c r="S32" s="44">
        <f>S31+$S$6+"00:02"</f>
        <v>0.67361111111111016</v>
      </c>
      <c r="T32" s="45" t="str">
        <f>T10</f>
        <v>1er A</v>
      </c>
      <c r="U32" s="45" t="str">
        <f>T12</f>
        <v>Meilleur 3e</v>
      </c>
      <c r="V32" s="67"/>
      <c r="W32" s="68"/>
      <c r="Y32" s="1">
        <f t="shared" si="16"/>
        <v>0</v>
      </c>
      <c r="Z32" s="1">
        <f t="shared" si="17"/>
        <v>0</v>
      </c>
      <c r="AE32" s="1">
        <f t="shared" si="18"/>
        <v>0</v>
      </c>
      <c r="AF32" s="1">
        <f t="shared" si="19"/>
        <v>0</v>
      </c>
      <c r="AK32" s="1">
        <f t="shared" si="20"/>
        <v>0</v>
      </c>
      <c r="AL32" s="1">
        <f t="shared" si="21"/>
        <v>0</v>
      </c>
      <c r="AQ32" s="1">
        <f t="shared" si="22"/>
        <v>0</v>
      </c>
      <c r="AR32" s="1">
        <f t="shared" si="23"/>
        <v>0</v>
      </c>
    </row>
    <row r="33" spans="1:25" ht="24.95" customHeight="1" thickBot="1" x14ac:dyDescent="0.3">
      <c r="A33" s="10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1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07"/>
      <c r="Y33" s="1" t="str">
        <f t="shared" ref="Y33" si="24">IF(D33="","",(IF(D33&gt;E33,3,IF(D33=E33,1,0))))</f>
        <v/>
      </c>
    </row>
    <row r="34" spans="1:25" ht="16.5" thickBot="1" x14ac:dyDescent="0.3">
      <c r="A34" s="865" t="s">
        <v>60</v>
      </c>
      <c r="B34" s="866"/>
      <c r="C34" s="866"/>
      <c r="D34" s="866"/>
      <c r="E34" s="866"/>
      <c r="F34" s="866"/>
      <c r="G34" s="866"/>
      <c r="H34" s="866"/>
      <c r="I34" s="866"/>
      <c r="J34" s="866"/>
      <c r="K34" s="867"/>
      <c r="L34" s="110"/>
      <c r="M34" s="869" t="s">
        <v>47</v>
      </c>
      <c r="N34" s="866"/>
      <c r="O34" s="866"/>
      <c r="P34" s="866"/>
      <c r="Q34" s="866"/>
      <c r="R34" s="866"/>
      <c r="S34" s="866"/>
      <c r="T34" s="866"/>
      <c r="U34" s="866"/>
      <c r="V34" s="866"/>
      <c r="W34" s="870"/>
    </row>
    <row r="35" spans="1:25" x14ac:dyDescent="0.25">
      <c r="A35" s="81" t="s">
        <v>21</v>
      </c>
      <c r="B35" s="711" t="s">
        <v>41</v>
      </c>
      <c r="C35" s="711"/>
      <c r="D35" s="711" t="s">
        <v>15</v>
      </c>
      <c r="E35" s="712"/>
      <c r="F35" s="773"/>
      <c r="G35" s="81" t="s">
        <v>21</v>
      </c>
      <c r="H35" s="711" t="s">
        <v>42</v>
      </c>
      <c r="I35" s="711"/>
      <c r="J35" s="711" t="s">
        <v>15</v>
      </c>
      <c r="K35" s="772"/>
      <c r="L35" s="110"/>
      <c r="M35" s="278" t="s">
        <v>21</v>
      </c>
      <c r="N35" s="711" t="s">
        <v>30</v>
      </c>
      <c r="O35" s="711"/>
      <c r="P35" s="711" t="s">
        <v>15</v>
      </c>
      <c r="Q35" s="712"/>
      <c r="R35" s="773"/>
      <c r="S35" s="81" t="s">
        <v>21</v>
      </c>
      <c r="T35" s="711" t="s">
        <v>31</v>
      </c>
      <c r="U35" s="711"/>
      <c r="V35" s="711" t="s">
        <v>15</v>
      </c>
      <c r="W35" s="712"/>
    </row>
    <row r="36" spans="1:25" x14ac:dyDescent="0.25">
      <c r="A36" s="49">
        <v>1</v>
      </c>
      <c r="B36" s="680" t="str">
        <f>VLOOKUP($A36,$A$44:$D$48,2,FALSE)</f>
        <v>Equipe 1</v>
      </c>
      <c r="C36" s="680"/>
      <c r="D36" s="683">
        <f>VLOOKUP($A36,$A$44:$D$48,4,FALSE)</f>
        <v>4.9999999999999998E-7</v>
      </c>
      <c r="E36" s="684"/>
      <c r="F36" s="774"/>
      <c r="G36" s="49">
        <v>1</v>
      </c>
      <c r="H36" s="680" t="str">
        <f>VLOOKUP($G36,$G$44:$J$48,2,FALSE)</f>
        <v>Equipe 6</v>
      </c>
      <c r="I36" s="680"/>
      <c r="J36" s="683">
        <f>VLOOKUP($G36,$G$44:$J$48,4,FALSE)</f>
        <v>4.9999999999999998E-7</v>
      </c>
      <c r="K36" s="882"/>
      <c r="L36" s="110"/>
      <c r="M36" s="349">
        <v>1</v>
      </c>
      <c r="N36" s="680" t="str">
        <f>VLOOKUP($M36,$M$44:$P$48,2,FALSE)</f>
        <v>5eme A</v>
      </c>
      <c r="O36" s="680"/>
      <c r="P36" s="683">
        <f>VLOOKUP($M36,$M$44:$P$48,4,FALSE)</f>
        <v>4.9999999999999998E-7</v>
      </c>
      <c r="Q36" s="684"/>
      <c r="R36" s="774"/>
      <c r="S36" s="49">
        <v>1</v>
      </c>
      <c r="T36" s="680" t="str">
        <f>VLOOKUP($S36,$S$44:$V$48,2,FALSE)</f>
        <v>2eme A</v>
      </c>
      <c r="U36" s="680"/>
      <c r="V36" s="683">
        <f>VLOOKUP($S36,$S$44:$V$48,4,FALSE)</f>
        <v>4.9999999999999998E-7</v>
      </c>
      <c r="W36" s="684"/>
    </row>
    <row r="37" spans="1:25" x14ac:dyDescent="0.25">
      <c r="A37" s="49">
        <v>2</v>
      </c>
      <c r="B37" s="824" t="str">
        <f>VLOOKUP($A37,$A$44:$D$48,2,FALSE)</f>
        <v>Equipe 2</v>
      </c>
      <c r="C37" s="825"/>
      <c r="D37" s="683">
        <f>VLOOKUP($A37,$A$44:$D$48,4,FALSE)</f>
        <v>3.9999999999999998E-7</v>
      </c>
      <c r="E37" s="684"/>
      <c r="F37" s="774"/>
      <c r="G37" s="49">
        <v>2</v>
      </c>
      <c r="H37" s="680" t="str">
        <f>VLOOKUP($G37,$G$44:$J$48,2,FALSE)</f>
        <v>Equipe 7</v>
      </c>
      <c r="I37" s="680"/>
      <c r="J37" s="683">
        <f>VLOOKUP($G37,$G$44:$J$48,4,FALSE)</f>
        <v>3.9999999999999998E-7</v>
      </c>
      <c r="K37" s="882"/>
      <c r="L37" s="110"/>
      <c r="M37" s="349">
        <v>2</v>
      </c>
      <c r="N37" s="680" t="str">
        <f>VLOOKUP($M37,$M$44:$P$48,2,FALSE)</f>
        <v>4eme B</v>
      </c>
      <c r="O37" s="680"/>
      <c r="P37" s="683">
        <f>VLOOKUP($M37,$M$44:$P$48,4,FALSE)</f>
        <v>3.9999999999999998E-7</v>
      </c>
      <c r="Q37" s="684"/>
      <c r="R37" s="774"/>
      <c r="S37" s="49">
        <v>2</v>
      </c>
      <c r="T37" s="680" t="str">
        <f>VLOOKUP($S37,$S$44:$V$48,2,FALSE)</f>
        <v>1er B</v>
      </c>
      <c r="U37" s="680"/>
      <c r="V37" s="683">
        <f>VLOOKUP($S37,$S$44:$V$48,4,FALSE)</f>
        <v>3.9999999999999998E-7</v>
      </c>
      <c r="W37" s="684"/>
    </row>
    <row r="38" spans="1:25" x14ac:dyDescent="0.25">
      <c r="A38" s="49">
        <v>3</v>
      </c>
      <c r="B38" s="824" t="str">
        <f>VLOOKUP($A38,$A$44:$D$48,2,FALSE)</f>
        <v>Equipe 3</v>
      </c>
      <c r="C38" s="825"/>
      <c r="D38" s="683">
        <f>VLOOKUP($A38,$A$44:$D$48,4,FALSE)</f>
        <v>2.9999999999999999E-7</v>
      </c>
      <c r="E38" s="684"/>
      <c r="F38" s="774"/>
      <c r="G38" s="49">
        <v>3</v>
      </c>
      <c r="H38" s="680" t="str">
        <f>VLOOKUP($G38,$G$44:$J$48,2,FALSE)</f>
        <v>Equipe 8</v>
      </c>
      <c r="I38" s="680"/>
      <c r="J38" s="683">
        <f>VLOOKUP($G38,$G$44:$J$48,4,FALSE)</f>
        <v>2.9999999999999999E-7</v>
      </c>
      <c r="K38" s="882"/>
      <c r="L38" s="110"/>
      <c r="M38" s="349">
        <v>3</v>
      </c>
      <c r="N38" s="680" t="str">
        <f>VLOOKUP($M38,$M$44:$P$48,2,FALSE)</f>
        <v>4eme A</v>
      </c>
      <c r="O38" s="680"/>
      <c r="P38" s="683">
        <f>VLOOKUP($M38,$M$44:$P$48,4,FALSE)</f>
        <v>2.9999999999999999E-7</v>
      </c>
      <c r="Q38" s="684"/>
      <c r="R38" s="774"/>
      <c r="S38" s="49">
        <v>3</v>
      </c>
      <c r="T38" s="680" t="str">
        <f>VLOOKUP($S38,$S$44:$V$48,2,FALSE)</f>
        <v>1er A</v>
      </c>
      <c r="U38" s="680"/>
      <c r="V38" s="683">
        <f>VLOOKUP($S38,$S$44:$V$48,4,FALSE)</f>
        <v>2.9999999999999999E-7</v>
      </c>
      <c r="W38" s="684"/>
    </row>
    <row r="39" spans="1:25" x14ac:dyDescent="0.25">
      <c r="A39" s="108">
        <v>4</v>
      </c>
      <c r="B39" s="824" t="str">
        <f>VLOOKUP($A39,$A$44:$D$48,2,FALSE)</f>
        <v>Equipe 4</v>
      </c>
      <c r="C39" s="825"/>
      <c r="D39" s="683">
        <f>VLOOKUP($A39,$A$44:$D$48,4,FALSE)</f>
        <v>1.9999999999999999E-7</v>
      </c>
      <c r="E39" s="684"/>
      <c r="F39" s="774"/>
      <c r="G39" s="108">
        <v>4</v>
      </c>
      <c r="H39" s="680" t="str">
        <f>VLOOKUP($G39,$G$44:$J$48,2,FALSE)</f>
        <v>Equipe 9</v>
      </c>
      <c r="I39" s="680"/>
      <c r="J39" s="683">
        <f>VLOOKUP($G39,$G$44:$J$48,4,FALSE)</f>
        <v>1.9999999999999999E-7</v>
      </c>
      <c r="K39" s="882"/>
      <c r="L39" s="110"/>
      <c r="M39" s="363">
        <v>4</v>
      </c>
      <c r="N39" s="680" t="str">
        <f>VLOOKUP($M39,$M$44:$P$48,2,FALSE)</f>
        <v>5eme B</v>
      </c>
      <c r="O39" s="680"/>
      <c r="P39" s="683">
        <f>VLOOKUP($M39,$M$44:$P$48,4,FALSE)</f>
        <v>1.9999999999999999E-7</v>
      </c>
      <c r="Q39" s="684"/>
      <c r="R39" s="774"/>
      <c r="S39" s="108">
        <v>4</v>
      </c>
      <c r="T39" s="680" t="str">
        <f>VLOOKUP($S39,$S$44:$V$48,2,FALSE)</f>
        <v>2eme B</v>
      </c>
      <c r="U39" s="680"/>
      <c r="V39" s="683">
        <f>VLOOKUP($S39,$S$44:$V$48,4,FALSE)</f>
        <v>1.9999999999999999E-7</v>
      </c>
      <c r="W39" s="684"/>
    </row>
    <row r="40" spans="1:25" ht="15.75" thickBot="1" x14ac:dyDescent="0.3">
      <c r="A40" s="108">
        <v>5</v>
      </c>
      <c r="B40" s="841" t="str">
        <f>VLOOKUP($A40,$A$44:$D$48,2,FALSE)</f>
        <v>Equipe 5</v>
      </c>
      <c r="C40" s="842"/>
      <c r="D40" s="683">
        <f>VLOOKUP($A40,$A$44:$D$48,4,FALSE)</f>
        <v>9.9999999999999995E-8</v>
      </c>
      <c r="E40" s="684"/>
      <c r="F40" s="774"/>
      <c r="G40" s="108">
        <v>5</v>
      </c>
      <c r="H40" s="680" t="str">
        <f>VLOOKUP($G40,$G$44:$J$48,2,FALSE)</f>
        <v>Equipe 10</v>
      </c>
      <c r="I40" s="680"/>
      <c r="J40" s="839">
        <f>VLOOKUP($G40,$G$44:$J$48,4,FALSE)</f>
        <v>9.9999999999999995E-8</v>
      </c>
      <c r="K40" s="886"/>
      <c r="L40" s="313"/>
      <c r="M40" s="363">
        <v>5</v>
      </c>
      <c r="N40" s="843" t="str">
        <f>VLOOKUP($M40,$M$44:$P$48,2,FALSE)</f>
        <v>Moins bon 3e</v>
      </c>
      <c r="O40" s="843"/>
      <c r="P40" s="839">
        <f>VLOOKUP($M40,$M$44:$P$48,4,FALSE)</f>
        <v>9.9999999999999995E-8</v>
      </c>
      <c r="Q40" s="840"/>
      <c r="R40" s="774"/>
      <c r="S40" s="108">
        <v>5</v>
      </c>
      <c r="T40" s="843" t="str">
        <f>VLOOKUP($S40,$S$44:$V$48,2,FALSE)</f>
        <v>Meilleur 3e</v>
      </c>
      <c r="U40" s="843"/>
      <c r="V40" s="839">
        <f>VLOOKUP($S40,$S$44:$V$48,4,FALSE)</f>
        <v>9.9999999999999995E-8</v>
      </c>
      <c r="W40" s="840"/>
    </row>
    <row r="41" spans="1:25" ht="15.75" thickBot="1" x14ac:dyDescent="0.3">
      <c r="A41" s="768" t="s">
        <v>34</v>
      </c>
      <c r="B41" s="675"/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6"/>
    </row>
    <row r="42" spans="1:25" ht="15.75" hidden="1" x14ac:dyDescent="0.25">
      <c r="A42" s="871" t="s">
        <v>14</v>
      </c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51"/>
      <c r="M42" s="871" t="s">
        <v>14</v>
      </c>
      <c r="N42" s="871"/>
      <c r="O42" s="871"/>
      <c r="P42" s="871"/>
      <c r="Q42" s="871"/>
      <c r="R42" s="871"/>
      <c r="S42" s="871"/>
      <c r="T42" s="871"/>
      <c r="U42" s="871"/>
      <c r="V42" s="871"/>
      <c r="W42" s="871"/>
    </row>
    <row r="43" spans="1:25" hidden="1" x14ac:dyDescent="0.25">
      <c r="A43" s="52"/>
      <c r="B43" s="864" t="s">
        <v>1</v>
      </c>
      <c r="C43" s="864"/>
      <c r="D43" s="864" t="s">
        <v>15</v>
      </c>
      <c r="E43" s="864"/>
      <c r="F43" s="872"/>
      <c r="G43" s="52"/>
      <c r="H43" s="864" t="s">
        <v>2</v>
      </c>
      <c r="I43" s="864"/>
      <c r="J43" s="864" t="s">
        <v>15</v>
      </c>
      <c r="K43" s="864"/>
      <c r="L43" s="51"/>
      <c r="M43" s="52"/>
      <c r="N43" s="864" t="s">
        <v>1</v>
      </c>
      <c r="O43" s="864"/>
      <c r="P43" s="864" t="s">
        <v>15</v>
      </c>
      <c r="Q43" s="864"/>
      <c r="R43" s="872"/>
      <c r="S43" s="52"/>
      <c r="T43" s="864" t="s">
        <v>2</v>
      </c>
      <c r="U43" s="864"/>
      <c r="V43" s="864" t="s">
        <v>15</v>
      </c>
      <c r="W43" s="864"/>
    </row>
    <row r="44" spans="1:25" hidden="1" x14ac:dyDescent="0.25">
      <c r="A44" s="70">
        <f>RANK(D44,$D$44:$D$48)</f>
        <v>1</v>
      </c>
      <c r="B44" s="69" t="str">
        <f>B8</f>
        <v>Equipe 1</v>
      </c>
      <c r="C44" s="69">
        <f>D15-E15+D19-E19+D23-E23+D27-E27</f>
        <v>0</v>
      </c>
      <c r="D44" s="681">
        <f>D8+5/10000000</f>
        <v>4.9999999999999998E-7</v>
      </c>
      <c r="E44" s="681"/>
      <c r="F44" s="873"/>
      <c r="G44" s="70">
        <f>RANK(J44,$J$44:$J$48)</f>
        <v>1</v>
      </c>
      <c r="H44" s="69" t="str">
        <f>H8</f>
        <v>Equipe 6</v>
      </c>
      <c r="I44" s="69">
        <f>J15-K15+J19-K19+J23-K23+J27-K27</f>
        <v>0</v>
      </c>
      <c r="J44" s="681">
        <f>J8+5/10000000</f>
        <v>4.9999999999999998E-7</v>
      </c>
      <c r="K44" s="681"/>
      <c r="L44" s="51"/>
      <c r="M44" s="70">
        <f>RANK(P44,$P$44:$P$48)</f>
        <v>1</v>
      </c>
      <c r="N44" s="69" t="str">
        <f>N8</f>
        <v>5eme A</v>
      </c>
      <c r="O44" s="69">
        <f>P15-Q15+P19-Q19+P23-Q23+P27-Q27</f>
        <v>0</v>
      </c>
      <c r="P44" s="681">
        <f>P8+5/10000000</f>
        <v>4.9999999999999998E-7</v>
      </c>
      <c r="Q44" s="681"/>
      <c r="R44" s="873"/>
      <c r="S44" s="70">
        <f>RANK(V44,$V$44:$V$48)</f>
        <v>1</v>
      </c>
      <c r="T44" s="69" t="str">
        <f>T8</f>
        <v>2eme A</v>
      </c>
      <c r="U44" s="69">
        <f>V15-W15+V19-W19+V23-W23+V27-W27</f>
        <v>0</v>
      </c>
      <c r="V44" s="681">
        <f>V8+5/10000000</f>
        <v>4.9999999999999998E-7</v>
      </c>
      <c r="W44" s="681"/>
    </row>
    <row r="45" spans="1:25" hidden="1" x14ac:dyDescent="0.25">
      <c r="A45" s="70">
        <f>RANK(D45,$D$44:$D$48)</f>
        <v>2</v>
      </c>
      <c r="B45" s="69" t="str">
        <f>B9</f>
        <v>Equipe 2</v>
      </c>
      <c r="C45" s="69">
        <f>E15-D15+D20-E20+D24-E24+D31-E31</f>
        <v>0</v>
      </c>
      <c r="D45" s="681">
        <f>D9+4/10000000</f>
        <v>3.9999999999999998E-7</v>
      </c>
      <c r="E45" s="681"/>
      <c r="F45" s="873"/>
      <c r="G45" s="70">
        <f>RANK(J45,$J$44:$J$48)</f>
        <v>2</v>
      </c>
      <c r="H45" s="69" t="str">
        <f>H9</f>
        <v>Equipe 7</v>
      </c>
      <c r="I45" s="69">
        <f>K15-J15+J20-K20+J24-K24+J31-K31</f>
        <v>0</v>
      </c>
      <c r="J45" s="681">
        <f>J9+4/10000000</f>
        <v>3.9999999999999998E-7</v>
      </c>
      <c r="K45" s="681"/>
      <c r="L45" s="51"/>
      <c r="M45" s="70">
        <f>RANK(P45,$P$44:$P$48)</f>
        <v>2</v>
      </c>
      <c r="N45" s="69" t="str">
        <f t="shared" ref="N45:N48" si="25">N9</f>
        <v>4eme B</v>
      </c>
      <c r="O45" s="69">
        <f>Q15-P15+P20-Q20+P24-Q24+P31-Q31</f>
        <v>0</v>
      </c>
      <c r="P45" s="681">
        <f>P9+4/10000000</f>
        <v>3.9999999999999998E-7</v>
      </c>
      <c r="Q45" s="681"/>
      <c r="R45" s="873"/>
      <c r="S45" s="70">
        <f>RANK(V45,$V$44:$V$48)</f>
        <v>2</v>
      </c>
      <c r="T45" s="69" t="str">
        <f t="shared" ref="T45:T48" si="26">T9</f>
        <v>1er B</v>
      </c>
      <c r="U45" s="69">
        <f>W15-V15+V20-W20+V24-W24+V31-W31</f>
        <v>0</v>
      </c>
      <c r="V45" s="681">
        <f>V9+4/10000000</f>
        <v>3.9999999999999998E-7</v>
      </c>
      <c r="W45" s="681"/>
    </row>
    <row r="46" spans="1:25" hidden="1" x14ac:dyDescent="0.25">
      <c r="A46" s="70">
        <f>RANK(D46,$D$44:$D$48)</f>
        <v>3</v>
      </c>
      <c r="B46" s="69" t="str">
        <f>B10</f>
        <v>Equipe 3</v>
      </c>
      <c r="C46" s="69">
        <f>D16-E16+E20-D20+E27-D27+D32-E32</f>
        <v>0</v>
      </c>
      <c r="D46" s="681">
        <f>D10+3/10000000</f>
        <v>2.9999999999999999E-7</v>
      </c>
      <c r="E46" s="681"/>
      <c r="F46" s="873"/>
      <c r="G46" s="70">
        <f>RANK(J46,$J$44:$J$48)</f>
        <v>3</v>
      </c>
      <c r="H46" s="69" t="str">
        <f>H10</f>
        <v>Equipe 8</v>
      </c>
      <c r="I46" s="69">
        <f>J16-K16+K20-J20+K27-J27+J32-K32</f>
        <v>0</v>
      </c>
      <c r="J46" s="681">
        <f>J10+3/10000000</f>
        <v>2.9999999999999999E-7</v>
      </c>
      <c r="K46" s="681"/>
      <c r="L46" s="51"/>
      <c r="M46" s="70">
        <f>RANK(P46,$P$44:$P$48)</f>
        <v>3</v>
      </c>
      <c r="N46" s="69" t="str">
        <f t="shared" si="25"/>
        <v>4eme A</v>
      </c>
      <c r="O46" s="69">
        <f>P16-Q16+Q20-P20+Q27-P27+P32-Q32</f>
        <v>0</v>
      </c>
      <c r="P46" s="681">
        <f>P10+3/10000000</f>
        <v>2.9999999999999999E-7</v>
      </c>
      <c r="Q46" s="681"/>
      <c r="R46" s="873"/>
      <c r="S46" s="70">
        <f>RANK(V46,$V$44:$V$48)</f>
        <v>3</v>
      </c>
      <c r="T46" s="69" t="str">
        <f t="shared" si="26"/>
        <v>1er A</v>
      </c>
      <c r="U46" s="69">
        <f>V16-W16+W20-V20+W27-V27+V32-W32</f>
        <v>0</v>
      </c>
      <c r="V46" s="681">
        <f>V10+3/10000000</f>
        <v>2.9999999999999999E-7</v>
      </c>
      <c r="W46" s="681"/>
    </row>
    <row r="47" spans="1:25" hidden="1" x14ac:dyDescent="0.25">
      <c r="A47" s="70">
        <f>RANK(D47,$D$44:$D$48)</f>
        <v>4</v>
      </c>
      <c r="B47" s="69" t="str">
        <f>B11</f>
        <v>Equipe 4</v>
      </c>
      <c r="C47" s="69">
        <f>E16-D16+E23-D23+D28-E28+E31-D31</f>
        <v>0</v>
      </c>
      <c r="D47" s="681">
        <f>D11+2/10000000</f>
        <v>1.9999999999999999E-7</v>
      </c>
      <c r="E47" s="681"/>
      <c r="F47" s="873"/>
      <c r="G47" s="70">
        <f>RANK(J47,$J$44:$J$48)</f>
        <v>4</v>
      </c>
      <c r="H47" s="69" t="str">
        <f t="shared" ref="H47:H48" si="27">H11</f>
        <v>Equipe 9</v>
      </c>
      <c r="I47" s="69">
        <f>K16-J16+K23-J23+J28-K28+K31-J31</f>
        <v>0</v>
      </c>
      <c r="J47" s="681">
        <f>J11+2/10000000</f>
        <v>1.9999999999999999E-7</v>
      </c>
      <c r="K47" s="681"/>
      <c r="L47" s="51"/>
      <c r="M47" s="70">
        <f>RANK(P47,$P$44:$P$48)</f>
        <v>4</v>
      </c>
      <c r="N47" s="69" t="str">
        <f t="shared" si="25"/>
        <v>5eme B</v>
      </c>
      <c r="O47" s="69">
        <f>Q16-P16+Q23-P23+P28-Q28+Q31-P31</f>
        <v>0</v>
      </c>
      <c r="P47" s="681">
        <f>P11+2/10000000</f>
        <v>1.9999999999999999E-7</v>
      </c>
      <c r="Q47" s="681"/>
      <c r="R47" s="873"/>
      <c r="S47" s="70">
        <f>RANK(V47,$V$44:$V$48)</f>
        <v>4</v>
      </c>
      <c r="T47" s="69" t="str">
        <f t="shared" si="26"/>
        <v>2eme B</v>
      </c>
      <c r="U47" s="69">
        <f>W16-V16+W23-V23+V28-W28+W31-V31</f>
        <v>0</v>
      </c>
      <c r="V47" s="681">
        <f>V11+2/10000000</f>
        <v>1.9999999999999999E-7</v>
      </c>
      <c r="W47" s="681"/>
    </row>
    <row r="48" spans="1:25" hidden="1" x14ac:dyDescent="0.25">
      <c r="A48" s="70">
        <f>RANK(D48,$D$44:$D$48)</f>
        <v>5</v>
      </c>
      <c r="B48" s="69" t="str">
        <f>B12</f>
        <v>Equipe 5</v>
      </c>
      <c r="C48" s="69">
        <f>E19-D19+E24-D24+E28-D28+E32-D32</f>
        <v>0</v>
      </c>
      <c r="D48" s="681">
        <f t="shared" ref="D48" si="28">D12+1/10000000</f>
        <v>9.9999999999999995E-8</v>
      </c>
      <c r="E48" s="681"/>
      <c r="F48" s="874"/>
      <c r="G48" s="70">
        <f>RANK(J48,$J$44:$J$48)</f>
        <v>5</v>
      </c>
      <c r="H48" s="69" t="str">
        <f t="shared" si="27"/>
        <v>Equipe 10</v>
      </c>
      <c r="I48" s="69">
        <f>K19-J19+K24-J24+K28-J28+K32-J32</f>
        <v>0</v>
      </c>
      <c r="J48" s="681">
        <f t="shared" ref="J48" si="29">J12+1/10000000</f>
        <v>9.9999999999999995E-8</v>
      </c>
      <c r="K48" s="681"/>
      <c r="L48" s="51"/>
      <c r="M48" s="70">
        <f>RANK(P48,$P$44:$P$48)</f>
        <v>5</v>
      </c>
      <c r="N48" s="69" t="str">
        <f t="shared" si="25"/>
        <v>Moins bon 3e</v>
      </c>
      <c r="O48" s="69">
        <f>Q19-P19+Q24-P24+Q28-P28+Q32-P32</f>
        <v>0</v>
      </c>
      <c r="P48" s="681">
        <f t="shared" ref="P48" si="30">P12+1/10000000</f>
        <v>9.9999999999999995E-8</v>
      </c>
      <c r="Q48" s="681"/>
      <c r="R48" s="874"/>
      <c r="S48" s="70">
        <f>RANK(V48,$V$44:$V$48)</f>
        <v>5</v>
      </c>
      <c r="T48" s="69" t="str">
        <f t="shared" si="26"/>
        <v>Meilleur 3e</v>
      </c>
      <c r="U48" s="69">
        <f>W19-V19+W24-V24+W28-V28+W32-V32</f>
        <v>0</v>
      </c>
      <c r="V48" s="681">
        <f t="shared" ref="V48" si="31">V12+1/10000000</f>
        <v>9.9999999999999995E-8</v>
      </c>
      <c r="W48" s="681"/>
    </row>
    <row r="49" spans="1:23" x14ac:dyDescent="0.25">
      <c r="A49" s="875" t="s">
        <v>113</v>
      </c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5"/>
      <c r="O49" s="875"/>
      <c r="P49" s="875"/>
      <c r="Q49" s="875"/>
      <c r="R49" s="875"/>
      <c r="S49" s="875"/>
      <c r="T49" s="875"/>
      <c r="U49" s="875"/>
      <c r="V49" s="875"/>
      <c r="W49" s="875"/>
    </row>
  </sheetData>
  <sheetProtection sheet="1" scenarios="1" selectLockedCells="1"/>
  <mergeCells count="187">
    <mergeCell ref="A6:C6"/>
    <mergeCell ref="D6:F6"/>
    <mergeCell ref="G6:H6"/>
    <mergeCell ref="M6:O6"/>
    <mergeCell ref="P6:R6"/>
    <mergeCell ref="S6:T6"/>
    <mergeCell ref="A3:I3"/>
    <mergeCell ref="E4:G4"/>
    <mergeCell ref="L4:M4"/>
    <mergeCell ref="E5:G5"/>
    <mergeCell ref="L5:M5"/>
    <mergeCell ref="T7:U7"/>
    <mergeCell ref="V7:W7"/>
    <mergeCell ref="B8:C8"/>
    <mergeCell ref="D8:E8"/>
    <mergeCell ref="H8:I8"/>
    <mergeCell ref="J8:K8"/>
    <mergeCell ref="N8:O8"/>
    <mergeCell ref="P8:Q8"/>
    <mergeCell ref="T8:U8"/>
    <mergeCell ref="V8:W8"/>
    <mergeCell ref="B7:C7"/>
    <mergeCell ref="D7:E7"/>
    <mergeCell ref="H7:I7"/>
    <mergeCell ref="J7:K7"/>
    <mergeCell ref="N7:O7"/>
    <mergeCell ref="P7:Q7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B37:C37"/>
    <mergeCell ref="D37:E37"/>
    <mergeCell ref="H37:I37"/>
    <mergeCell ref="J37:K37"/>
    <mergeCell ref="N37:O37"/>
    <mergeCell ref="P37:Q37"/>
    <mergeCell ref="T12:U12"/>
    <mergeCell ref="V12:W12"/>
    <mergeCell ref="B14:C14"/>
    <mergeCell ref="D14:E14"/>
    <mergeCell ref="H14:I14"/>
    <mergeCell ref="J14:K14"/>
    <mergeCell ref="N14:O14"/>
    <mergeCell ref="P14:Q14"/>
    <mergeCell ref="T14:U14"/>
    <mergeCell ref="V14:W14"/>
    <mergeCell ref="B12:C12"/>
    <mergeCell ref="D12:E12"/>
    <mergeCell ref="H12:I12"/>
    <mergeCell ref="J12:K12"/>
    <mergeCell ref="N12:O12"/>
    <mergeCell ref="P12:Q12"/>
    <mergeCell ref="T18:U18"/>
    <mergeCell ref="V18:W18"/>
    <mergeCell ref="B22:C22"/>
    <mergeCell ref="D22:E22"/>
    <mergeCell ref="H22:I22"/>
    <mergeCell ref="J22:K22"/>
    <mergeCell ref="N22:O22"/>
    <mergeCell ref="P22:Q22"/>
    <mergeCell ref="T22:U22"/>
    <mergeCell ref="V22:W22"/>
    <mergeCell ref="B18:C18"/>
    <mergeCell ref="D18:E18"/>
    <mergeCell ref="H18:I18"/>
    <mergeCell ref="J18:K18"/>
    <mergeCell ref="N18:O18"/>
    <mergeCell ref="P18:Q18"/>
    <mergeCell ref="A34:K34"/>
    <mergeCell ref="M34:W34"/>
    <mergeCell ref="B35:C35"/>
    <mergeCell ref="D35:E35"/>
    <mergeCell ref="F35:F40"/>
    <mergeCell ref="H35:I35"/>
    <mergeCell ref="J35:K35"/>
    <mergeCell ref="N35:O35"/>
    <mergeCell ref="P35:Q35"/>
    <mergeCell ref="R35:R40"/>
    <mergeCell ref="T35:U35"/>
    <mergeCell ref="V35:W35"/>
    <mergeCell ref="B36:C36"/>
    <mergeCell ref="D36:E36"/>
    <mergeCell ref="H36:I36"/>
    <mergeCell ref="J36:K36"/>
    <mergeCell ref="N36:O36"/>
    <mergeCell ref="P36:Q36"/>
    <mergeCell ref="T36:U36"/>
    <mergeCell ref="V36:W36"/>
    <mergeCell ref="T37:U37"/>
    <mergeCell ref="V37:W37"/>
    <mergeCell ref="B38:C38"/>
    <mergeCell ref="D38:E38"/>
    <mergeCell ref="V48:W48"/>
    <mergeCell ref="H38:I38"/>
    <mergeCell ref="J38:K38"/>
    <mergeCell ref="N38:O38"/>
    <mergeCell ref="P38:Q38"/>
    <mergeCell ref="T38:U38"/>
    <mergeCell ref="V38:W38"/>
    <mergeCell ref="V43:W43"/>
    <mergeCell ref="D44:E44"/>
    <mergeCell ref="J44:K44"/>
    <mergeCell ref="T30:U30"/>
    <mergeCell ref="V30:W30"/>
    <mergeCell ref="P44:Q44"/>
    <mergeCell ref="V44:W44"/>
    <mergeCell ref="D45:E45"/>
    <mergeCell ref="T40:U40"/>
    <mergeCell ref="V40:W40"/>
    <mergeCell ref="A41:W41"/>
    <mergeCell ref="A42:K42"/>
    <mergeCell ref="M42:W42"/>
    <mergeCell ref="B43:C43"/>
    <mergeCell ref="D43:E43"/>
    <mergeCell ref="F43:F48"/>
    <mergeCell ref="H43:I43"/>
    <mergeCell ref="J43:K43"/>
    <mergeCell ref="B40:C40"/>
    <mergeCell ref="D40:E40"/>
    <mergeCell ref="H40:I40"/>
    <mergeCell ref="J40:K40"/>
    <mergeCell ref="N40:O40"/>
    <mergeCell ref="P40:Q40"/>
    <mergeCell ref="D48:E48"/>
    <mergeCell ref="J48:K48"/>
    <mergeCell ref="P48:Q48"/>
    <mergeCell ref="H26:I26"/>
    <mergeCell ref="J26:K26"/>
    <mergeCell ref="N26:O26"/>
    <mergeCell ref="P26:Q26"/>
    <mergeCell ref="T26:U26"/>
    <mergeCell ref="B11:C11"/>
    <mergeCell ref="H11:I11"/>
    <mergeCell ref="A49:W49"/>
    <mergeCell ref="B30:C30"/>
    <mergeCell ref="D30:E30"/>
    <mergeCell ref="H30:I30"/>
    <mergeCell ref="J30:K30"/>
    <mergeCell ref="N30:O30"/>
    <mergeCell ref="J45:K45"/>
    <mergeCell ref="P45:Q45"/>
    <mergeCell ref="V45:W45"/>
    <mergeCell ref="D46:E46"/>
    <mergeCell ref="J46:K46"/>
    <mergeCell ref="P46:Q46"/>
    <mergeCell ref="V46:W46"/>
    <mergeCell ref="N43:O43"/>
    <mergeCell ref="P43:Q43"/>
    <mergeCell ref="R43:R48"/>
    <mergeCell ref="T43:U43"/>
    <mergeCell ref="A1:T1"/>
    <mergeCell ref="U1:W5"/>
    <mergeCell ref="P47:Q47"/>
    <mergeCell ref="V47:W47"/>
    <mergeCell ref="N11:O11"/>
    <mergeCell ref="T11:U11"/>
    <mergeCell ref="D11:E11"/>
    <mergeCell ref="D47:E47"/>
    <mergeCell ref="J47:K47"/>
    <mergeCell ref="J11:K11"/>
    <mergeCell ref="P11:Q11"/>
    <mergeCell ref="V11:W11"/>
    <mergeCell ref="N39:O39"/>
    <mergeCell ref="P39:Q39"/>
    <mergeCell ref="T39:U39"/>
    <mergeCell ref="V26:W26"/>
    <mergeCell ref="D39:E39"/>
    <mergeCell ref="J39:K39"/>
    <mergeCell ref="H39:I39"/>
    <mergeCell ref="B39:C39"/>
    <mergeCell ref="V39:W39"/>
    <mergeCell ref="P30:Q30"/>
    <mergeCell ref="B26:C26"/>
    <mergeCell ref="D26:E2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3" orientation="landscape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76"/>
  <sheetViews>
    <sheetView showGridLines="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192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690"/>
      <c r="V1" s="691"/>
      <c r="W1" s="692"/>
    </row>
    <row r="2" spans="1:23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693"/>
      <c r="V2" s="694"/>
      <c r="W2" s="695"/>
    </row>
    <row r="3" spans="1:23" ht="24.95" customHeight="1" thickBot="1" x14ac:dyDescent="0.3">
      <c r="A3" s="736" t="s">
        <v>0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693"/>
      <c r="V3" s="694"/>
      <c r="W3" s="695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279"/>
      <c r="I4" s="741" t="s">
        <v>53</v>
      </c>
      <c r="J4" s="741"/>
      <c r="K4" s="741"/>
      <c r="L4" s="742">
        <f>(3*J6)+(2*J25)</f>
        <v>3.888888888888889E-2</v>
      </c>
      <c r="M4" s="742"/>
      <c r="N4" s="264" t="s">
        <v>33</v>
      </c>
      <c r="O4" s="319"/>
      <c r="P4" s="200"/>
      <c r="Q4" s="200"/>
      <c r="R4" s="200"/>
      <c r="S4" s="200"/>
      <c r="T4" s="201"/>
      <c r="U4" s="693"/>
      <c r="V4" s="694"/>
      <c r="W4" s="695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S34-A14+J25+"00:02"</f>
        <v>0.2916666666666658</v>
      </c>
      <c r="F5" s="810"/>
      <c r="G5" s="810"/>
      <c r="H5" s="215"/>
      <c r="I5" s="216" t="s">
        <v>79</v>
      </c>
      <c r="J5" s="216"/>
      <c r="K5" s="216"/>
      <c r="L5" s="687">
        <v>1.6666666666666666E-2</v>
      </c>
      <c r="M5" s="688"/>
      <c r="N5" s="215"/>
      <c r="O5" s="47"/>
      <c r="P5" s="47"/>
      <c r="Q5" s="47"/>
      <c r="R5" s="47"/>
      <c r="S5" s="47"/>
      <c r="T5" s="320"/>
      <c r="U5" s="696"/>
      <c r="V5" s="697"/>
      <c r="W5" s="698"/>
    </row>
    <row r="6" spans="1:23" ht="16.5" thickBot="1" x14ac:dyDescent="0.3">
      <c r="A6" s="701" t="s">
        <v>35</v>
      </c>
      <c r="B6" s="685"/>
      <c r="C6" s="685"/>
      <c r="D6" s="685"/>
      <c r="E6" s="685"/>
      <c r="F6" s="685"/>
      <c r="G6" s="685"/>
      <c r="H6" s="685"/>
      <c r="I6" s="79" t="s">
        <v>18</v>
      </c>
      <c r="J6" s="782">
        <v>6.9444444444444441E-3</v>
      </c>
      <c r="K6" s="782"/>
      <c r="L6" s="782"/>
      <c r="M6" s="72" t="s">
        <v>17</v>
      </c>
      <c r="N6" s="79"/>
      <c r="O6" s="79"/>
      <c r="P6" s="868"/>
      <c r="Q6" s="890"/>
      <c r="R6" s="22"/>
      <c r="S6" s="891" t="s">
        <v>60</v>
      </c>
      <c r="T6" s="892"/>
      <c r="U6" s="892"/>
      <c r="V6" s="892"/>
      <c r="W6" s="893"/>
    </row>
    <row r="7" spans="1:23" x14ac:dyDescent="0.25">
      <c r="A7" s="6"/>
      <c r="B7" s="744" t="s">
        <v>41</v>
      </c>
      <c r="C7" s="745"/>
      <c r="D7" s="744" t="s">
        <v>15</v>
      </c>
      <c r="E7" s="746"/>
      <c r="F7" s="102"/>
      <c r="G7" s="7"/>
      <c r="H7" s="747" t="s">
        <v>42</v>
      </c>
      <c r="I7" s="748"/>
      <c r="J7" s="747" t="s">
        <v>15</v>
      </c>
      <c r="K7" s="749"/>
      <c r="L7" s="76"/>
      <c r="M7" s="8"/>
      <c r="N7" s="804" t="s">
        <v>43</v>
      </c>
      <c r="O7" s="805"/>
      <c r="P7" s="804" t="s">
        <v>15</v>
      </c>
      <c r="Q7" s="806"/>
      <c r="R7" s="2"/>
      <c r="S7" s="81" t="s">
        <v>21</v>
      </c>
      <c r="T7" s="711" t="s">
        <v>41</v>
      </c>
      <c r="U7" s="711"/>
      <c r="V7" s="711" t="s">
        <v>15</v>
      </c>
      <c r="W7" s="712"/>
    </row>
    <row r="8" spans="1:23" x14ac:dyDescent="0.25">
      <c r="A8" s="10">
        <v>1</v>
      </c>
      <c r="B8" s="731" t="s">
        <v>22</v>
      </c>
      <c r="C8" s="732"/>
      <c r="D8" s="725">
        <f>A55+A59+A63+C45/1000000</f>
        <v>0</v>
      </c>
      <c r="E8" s="726"/>
      <c r="F8" s="103"/>
      <c r="G8" s="11">
        <v>1</v>
      </c>
      <c r="H8" s="727" t="s">
        <v>26</v>
      </c>
      <c r="I8" s="728"/>
      <c r="J8" s="729">
        <f>G55+G59+G63+I45/1000000</f>
        <v>0</v>
      </c>
      <c r="K8" s="730"/>
      <c r="L8" s="76"/>
      <c r="M8" s="12">
        <v>1</v>
      </c>
      <c r="N8" s="800" t="s">
        <v>37</v>
      </c>
      <c r="O8" s="801"/>
      <c r="P8" s="802">
        <f>M55+M59+M63+O45/1000000</f>
        <v>0</v>
      </c>
      <c r="Q8" s="803"/>
      <c r="R8" s="2"/>
      <c r="S8" s="49">
        <v>1</v>
      </c>
      <c r="T8" s="680" t="str">
        <f>VLOOKUP($S8,$A$45:$D$48,2,FALSE)</f>
        <v>Equipe 1</v>
      </c>
      <c r="U8" s="680"/>
      <c r="V8" s="681">
        <f>VLOOKUP($S8,$A$45:$D$48,4,FALSE)</f>
        <v>3.9999999999999998E-7</v>
      </c>
      <c r="W8" s="682"/>
    </row>
    <row r="9" spans="1:23" x14ac:dyDescent="0.25">
      <c r="A9" s="10">
        <v>2</v>
      </c>
      <c r="B9" s="731" t="s">
        <v>23</v>
      </c>
      <c r="C9" s="732"/>
      <c r="D9" s="725">
        <f>B55+A60+A64+C46/1000000</f>
        <v>0</v>
      </c>
      <c r="E9" s="726"/>
      <c r="F9" s="103"/>
      <c r="G9" s="11">
        <v>2</v>
      </c>
      <c r="H9" s="727" t="s">
        <v>27</v>
      </c>
      <c r="I9" s="728"/>
      <c r="J9" s="729">
        <f>H55+G60+G64+I46/1000000</f>
        <v>0</v>
      </c>
      <c r="K9" s="730"/>
      <c r="L9" s="76"/>
      <c r="M9" s="12">
        <v>2</v>
      </c>
      <c r="N9" s="800" t="s">
        <v>38</v>
      </c>
      <c r="O9" s="801"/>
      <c r="P9" s="802">
        <f>N55+M60+M64+O46/1000000</f>
        <v>0</v>
      </c>
      <c r="Q9" s="803"/>
      <c r="R9" s="2"/>
      <c r="S9" s="49">
        <v>2</v>
      </c>
      <c r="T9" s="680" t="str">
        <f t="shared" ref="T9:T11" si="0">VLOOKUP($S9,$A$45:$D$48,2,FALSE)</f>
        <v>Equipe 2</v>
      </c>
      <c r="U9" s="680"/>
      <c r="V9" s="681">
        <f t="shared" ref="V9:V11" si="1">VLOOKUP($S9,$A$45:$D$48,4,FALSE)</f>
        <v>2.9999999999999999E-7</v>
      </c>
      <c r="W9" s="682"/>
    </row>
    <row r="10" spans="1:23" x14ac:dyDescent="0.25">
      <c r="A10" s="10">
        <v>3</v>
      </c>
      <c r="B10" s="731" t="s">
        <v>24</v>
      </c>
      <c r="C10" s="732"/>
      <c r="D10" s="725">
        <f>A56+B59+B64+C47/1000000</f>
        <v>0</v>
      </c>
      <c r="E10" s="726"/>
      <c r="F10" s="103"/>
      <c r="G10" s="11">
        <v>3</v>
      </c>
      <c r="H10" s="727" t="s">
        <v>28</v>
      </c>
      <c r="I10" s="728"/>
      <c r="J10" s="729">
        <f>G56+H59+H64+I47/1000000</f>
        <v>0</v>
      </c>
      <c r="K10" s="730"/>
      <c r="L10" s="76"/>
      <c r="M10" s="12">
        <v>3</v>
      </c>
      <c r="N10" s="800" t="s">
        <v>39</v>
      </c>
      <c r="O10" s="801"/>
      <c r="P10" s="802">
        <f>M56+N59+N64+O47/1000000</f>
        <v>0</v>
      </c>
      <c r="Q10" s="803"/>
      <c r="R10" s="2"/>
      <c r="S10" s="49">
        <v>3</v>
      </c>
      <c r="T10" s="680" t="str">
        <f t="shared" si="0"/>
        <v>Equipe 3</v>
      </c>
      <c r="U10" s="680"/>
      <c r="V10" s="681">
        <f t="shared" si="1"/>
        <v>1.9999999999999999E-7</v>
      </c>
      <c r="W10" s="682"/>
    </row>
    <row r="11" spans="1:23" ht="15.75" thickBot="1" x14ac:dyDescent="0.3">
      <c r="A11" s="15">
        <v>4</v>
      </c>
      <c r="B11" s="717" t="s">
        <v>25</v>
      </c>
      <c r="C11" s="718"/>
      <c r="D11" s="719">
        <f>B56+B60+B63+C48/1000000</f>
        <v>0</v>
      </c>
      <c r="E11" s="720"/>
      <c r="F11" s="103"/>
      <c r="G11" s="16">
        <v>4</v>
      </c>
      <c r="H11" s="721" t="s">
        <v>29</v>
      </c>
      <c r="I11" s="722"/>
      <c r="J11" s="723">
        <f>H56+H60+H63+I48/1000000</f>
        <v>0</v>
      </c>
      <c r="K11" s="724"/>
      <c r="L11" s="76"/>
      <c r="M11" s="17">
        <v>4</v>
      </c>
      <c r="N11" s="792" t="s">
        <v>40</v>
      </c>
      <c r="O11" s="793"/>
      <c r="P11" s="794">
        <f>N56+N60+N63+O48/1000000</f>
        <v>0</v>
      </c>
      <c r="Q11" s="795"/>
      <c r="R11" s="2"/>
      <c r="S11" s="50">
        <v>4</v>
      </c>
      <c r="T11" s="706" t="str">
        <f t="shared" si="0"/>
        <v>Equipe 4</v>
      </c>
      <c r="U11" s="706"/>
      <c r="V11" s="709">
        <f t="shared" si="1"/>
        <v>9.9999999999999995E-8</v>
      </c>
      <c r="W11" s="710"/>
    </row>
    <row r="12" spans="1:23" ht="15.75" thickBot="1" x14ac:dyDescent="0.3">
      <c r="A12" s="19"/>
      <c r="B12" s="2"/>
      <c r="C12" s="2"/>
      <c r="D12" s="2"/>
      <c r="E12" s="2"/>
      <c r="F12" s="2"/>
      <c r="G12" s="2"/>
      <c r="H12" s="2"/>
      <c r="I12" s="22"/>
      <c r="J12" s="2"/>
      <c r="K12" s="2"/>
      <c r="L12" s="85"/>
      <c r="M12" s="2"/>
      <c r="N12" s="2"/>
      <c r="O12" s="2"/>
      <c r="P12" s="2"/>
      <c r="Q12" s="21"/>
      <c r="R12" s="2"/>
      <c r="S12" s="19"/>
      <c r="T12" s="2"/>
      <c r="U12" s="2"/>
      <c r="V12" s="2"/>
      <c r="W12" s="21"/>
    </row>
    <row r="13" spans="1:23" s="29" customFormat="1" x14ac:dyDescent="0.25">
      <c r="A13" s="24"/>
      <c r="B13" s="713" t="s">
        <v>5</v>
      </c>
      <c r="C13" s="713"/>
      <c r="D13" s="713" t="s">
        <v>16</v>
      </c>
      <c r="E13" s="714"/>
      <c r="F13" s="25"/>
      <c r="G13" s="26"/>
      <c r="H13" s="715" t="s">
        <v>5</v>
      </c>
      <c r="I13" s="715"/>
      <c r="J13" s="715" t="s">
        <v>16</v>
      </c>
      <c r="K13" s="716"/>
      <c r="L13" s="77"/>
      <c r="M13" s="27"/>
      <c r="N13" s="786" t="s">
        <v>5</v>
      </c>
      <c r="O13" s="786"/>
      <c r="P13" s="786" t="s">
        <v>16</v>
      </c>
      <c r="Q13" s="787"/>
      <c r="R13" s="25"/>
      <c r="S13" s="81" t="s">
        <v>21</v>
      </c>
      <c r="T13" s="711" t="s">
        <v>42</v>
      </c>
      <c r="U13" s="711"/>
      <c r="V13" s="711" t="s">
        <v>15</v>
      </c>
      <c r="W13" s="712"/>
    </row>
    <row r="14" spans="1:23" x14ac:dyDescent="0.25">
      <c r="A14" s="30">
        <f>E4</f>
        <v>0.375</v>
      </c>
      <c r="B14" s="31" t="str">
        <f>B8</f>
        <v>Equipe 1</v>
      </c>
      <c r="C14" s="31" t="str">
        <f>B9</f>
        <v>Equipe 2</v>
      </c>
      <c r="D14" s="53"/>
      <c r="E14" s="54"/>
      <c r="F14" s="2"/>
      <c r="G14" s="32">
        <f>A15+$J$6+"00:02"</f>
        <v>0.39166666666666661</v>
      </c>
      <c r="H14" s="33" t="str">
        <f>H8</f>
        <v>Equipe 5</v>
      </c>
      <c r="I14" s="33" t="str">
        <f>H9</f>
        <v>Equipe 6</v>
      </c>
      <c r="J14" s="57"/>
      <c r="K14" s="58"/>
      <c r="L14" s="76"/>
      <c r="M14" s="34">
        <f>G15+$J$6+"00:02"</f>
        <v>0.40833333333333321</v>
      </c>
      <c r="N14" s="35" t="str">
        <f>N8</f>
        <v>Equipe 9</v>
      </c>
      <c r="O14" s="35" t="str">
        <f>N9</f>
        <v>Equipe 10</v>
      </c>
      <c r="P14" s="61"/>
      <c r="Q14" s="62"/>
      <c r="R14" s="2"/>
      <c r="S14" s="49">
        <v>1</v>
      </c>
      <c r="T14" s="680" t="str">
        <f>VLOOKUP($S14,$G$45:$J$48,2,FALSE)</f>
        <v>Equipe 5</v>
      </c>
      <c r="U14" s="680"/>
      <c r="V14" s="681">
        <f>VLOOKUP($S14,$G$45:$J$48,4,FALSE)</f>
        <v>3.9999999999999998E-7</v>
      </c>
      <c r="W14" s="682"/>
    </row>
    <row r="15" spans="1:23" ht="15.75" thickBot="1" x14ac:dyDescent="0.3">
      <c r="A15" s="38">
        <f>A14+$J$6+"00:02"</f>
        <v>0.3833333333333333</v>
      </c>
      <c r="B15" s="39" t="str">
        <f>B10</f>
        <v>Equipe 3</v>
      </c>
      <c r="C15" s="39" t="str">
        <f>B11</f>
        <v>Equipe 4</v>
      </c>
      <c r="D15" s="55"/>
      <c r="E15" s="56"/>
      <c r="F15" s="2"/>
      <c r="G15" s="40">
        <f>G14+$J$6+"00:02"</f>
        <v>0.39999999999999991</v>
      </c>
      <c r="H15" s="41" t="str">
        <f>H10</f>
        <v>Equipe 7</v>
      </c>
      <c r="I15" s="41" t="str">
        <f>H11</f>
        <v>Equipe 8</v>
      </c>
      <c r="J15" s="59"/>
      <c r="K15" s="60"/>
      <c r="L15" s="76"/>
      <c r="M15" s="42">
        <f>M14+J6+"00:02"</f>
        <v>0.41666666666666652</v>
      </c>
      <c r="N15" s="43" t="str">
        <f>N10</f>
        <v>Equipe 11</v>
      </c>
      <c r="O15" s="43" t="str">
        <f>N11</f>
        <v>Equipe 12</v>
      </c>
      <c r="P15" s="63"/>
      <c r="Q15" s="64"/>
      <c r="R15" s="2"/>
      <c r="S15" s="49">
        <v>2</v>
      </c>
      <c r="T15" s="680" t="str">
        <f t="shared" ref="T15:T17" si="2">VLOOKUP($S15,$G$45:$J$48,2,FALSE)</f>
        <v>Equipe 6</v>
      </c>
      <c r="U15" s="680"/>
      <c r="V15" s="681">
        <f t="shared" ref="V15:V17" si="3">VLOOKUP($S15,$G$45:$J$48,4,FALSE)</f>
        <v>2.9999999999999999E-7</v>
      </c>
      <c r="W15" s="682"/>
    </row>
    <row r="16" spans="1:23" ht="15.75" thickBot="1" x14ac:dyDescent="0.3">
      <c r="A16" s="19"/>
      <c r="B16" s="2"/>
      <c r="C16" s="2"/>
      <c r="D16" s="46"/>
      <c r="E16" s="46"/>
      <c r="F16" s="2"/>
      <c r="G16" s="2"/>
      <c r="H16" s="2"/>
      <c r="I16" s="47"/>
      <c r="J16" s="46"/>
      <c r="K16" s="281"/>
      <c r="L16" s="85"/>
      <c r="M16" s="2"/>
      <c r="N16" s="2"/>
      <c r="O16" s="2"/>
      <c r="P16" s="46"/>
      <c r="Q16" s="48"/>
      <c r="R16" s="2"/>
      <c r="S16" s="49">
        <v>3</v>
      </c>
      <c r="T16" s="680" t="str">
        <f t="shared" si="2"/>
        <v>Equipe 7</v>
      </c>
      <c r="U16" s="680"/>
      <c r="V16" s="681">
        <f t="shared" si="3"/>
        <v>1.9999999999999999E-7</v>
      </c>
      <c r="W16" s="682"/>
    </row>
    <row r="17" spans="1:23" s="29" customFormat="1" ht="15.75" thickBot="1" x14ac:dyDescent="0.3">
      <c r="A17" s="24"/>
      <c r="B17" s="713" t="s">
        <v>6</v>
      </c>
      <c r="C17" s="713"/>
      <c r="D17" s="713" t="s">
        <v>16</v>
      </c>
      <c r="E17" s="714"/>
      <c r="F17" s="25"/>
      <c r="G17" s="26"/>
      <c r="H17" s="715" t="s">
        <v>6</v>
      </c>
      <c r="I17" s="715"/>
      <c r="J17" s="715" t="s">
        <v>16</v>
      </c>
      <c r="K17" s="716"/>
      <c r="L17" s="77"/>
      <c r="M17" s="27"/>
      <c r="N17" s="786" t="s">
        <v>6</v>
      </c>
      <c r="O17" s="786"/>
      <c r="P17" s="786" t="s">
        <v>16</v>
      </c>
      <c r="Q17" s="787"/>
      <c r="R17" s="25"/>
      <c r="S17" s="50">
        <v>4</v>
      </c>
      <c r="T17" s="706" t="str">
        <f t="shared" si="2"/>
        <v>Equipe 8</v>
      </c>
      <c r="U17" s="706"/>
      <c r="V17" s="709">
        <f t="shared" si="3"/>
        <v>9.9999999999999995E-8</v>
      </c>
      <c r="W17" s="710"/>
    </row>
    <row r="18" spans="1:23" ht="15.75" thickBot="1" x14ac:dyDescent="0.3">
      <c r="A18" s="30">
        <f>M15+$J$6+"00:02"</f>
        <v>0.42499999999999982</v>
      </c>
      <c r="B18" s="31" t="str">
        <f>B8</f>
        <v>Equipe 1</v>
      </c>
      <c r="C18" s="31" t="str">
        <f>B10</f>
        <v>Equipe 3</v>
      </c>
      <c r="D18" s="53"/>
      <c r="E18" s="54"/>
      <c r="F18" s="2"/>
      <c r="G18" s="32">
        <f>A19+$J$6+"00:02"</f>
        <v>0.44166666666666643</v>
      </c>
      <c r="H18" s="33" t="str">
        <f>H8</f>
        <v>Equipe 5</v>
      </c>
      <c r="I18" s="33" t="str">
        <f>H10</f>
        <v>Equipe 7</v>
      </c>
      <c r="J18" s="57"/>
      <c r="K18" s="58"/>
      <c r="L18" s="76"/>
      <c r="M18" s="34">
        <f>G19+$J$6+"00:02"</f>
        <v>0.45833333333333304</v>
      </c>
      <c r="N18" s="35" t="str">
        <f>N8</f>
        <v>Equipe 9</v>
      </c>
      <c r="O18" s="35" t="str">
        <f>N10</f>
        <v>Equipe 11</v>
      </c>
      <c r="P18" s="61"/>
      <c r="Q18" s="62"/>
      <c r="R18" s="2"/>
      <c r="S18" s="19"/>
      <c r="T18" s="2"/>
      <c r="U18" s="2"/>
      <c r="V18" s="2"/>
      <c r="W18" s="21"/>
    </row>
    <row r="19" spans="1:23" ht="15.75" thickBot="1" x14ac:dyDescent="0.3">
      <c r="A19" s="38">
        <f>A18+$J$6+"00:02"</f>
        <v>0.43333333333333313</v>
      </c>
      <c r="B19" s="39" t="str">
        <f>B9</f>
        <v>Equipe 2</v>
      </c>
      <c r="C19" s="39" t="str">
        <f>B11</f>
        <v>Equipe 4</v>
      </c>
      <c r="D19" s="55"/>
      <c r="E19" s="56"/>
      <c r="F19" s="2"/>
      <c r="G19" s="40">
        <f>G18+$J$6+"00:02"</f>
        <v>0.44999999999999973</v>
      </c>
      <c r="H19" s="41" t="str">
        <f>H9</f>
        <v>Equipe 6</v>
      </c>
      <c r="I19" s="41" t="str">
        <f>H11</f>
        <v>Equipe 8</v>
      </c>
      <c r="J19" s="59"/>
      <c r="K19" s="60"/>
      <c r="L19" s="76"/>
      <c r="M19" s="42">
        <f>M18+$J$6+"00:02"</f>
        <v>0.46666666666666634</v>
      </c>
      <c r="N19" s="43" t="str">
        <f>N9</f>
        <v>Equipe 10</v>
      </c>
      <c r="O19" s="43" t="str">
        <f>N11</f>
        <v>Equipe 12</v>
      </c>
      <c r="P19" s="63"/>
      <c r="Q19" s="64"/>
      <c r="R19" s="2"/>
      <c r="S19" s="81" t="s">
        <v>21</v>
      </c>
      <c r="T19" s="711" t="s">
        <v>43</v>
      </c>
      <c r="U19" s="711"/>
      <c r="V19" s="711" t="s">
        <v>15</v>
      </c>
      <c r="W19" s="712"/>
    </row>
    <row r="20" spans="1:23" ht="15.75" thickBot="1" x14ac:dyDescent="0.3">
      <c r="A20" s="19"/>
      <c r="B20" s="2"/>
      <c r="C20" s="2"/>
      <c r="D20" s="46"/>
      <c r="E20" s="46"/>
      <c r="F20" s="2"/>
      <c r="G20" s="2"/>
      <c r="H20" s="2"/>
      <c r="I20" s="47"/>
      <c r="J20" s="46"/>
      <c r="K20" s="281"/>
      <c r="L20" s="85"/>
      <c r="M20" s="2"/>
      <c r="N20" s="2"/>
      <c r="O20" s="2"/>
      <c r="P20" s="46"/>
      <c r="Q20" s="48"/>
      <c r="R20" s="2"/>
      <c r="S20" s="49">
        <v>1</v>
      </c>
      <c r="T20" s="680" t="str">
        <f>VLOOKUP($S20,$M$45:$P$48,2,FALSE)</f>
        <v>Equipe 9</v>
      </c>
      <c r="U20" s="680"/>
      <c r="V20" s="681">
        <f>VLOOKUP($S20,$M$45:$P$48,4,FALSE)</f>
        <v>3.9999999999999998E-7</v>
      </c>
      <c r="W20" s="682"/>
    </row>
    <row r="21" spans="1:23" s="29" customFormat="1" x14ac:dyDescent="0.25">
      <c r="A21" s="24"/>
      <c r="B21" s="713" t="s">
        <v>7</v>
      </c>
      <c r="C21" s="713"/>
      <c r="D21" s="713" t="s">
        <v>16</v>
      </c>
      <c r="E21" s="714"/>
      <c r="F21" s="25"/>
      <c r="G21" s="26"/>
      <c r="H21" s="715" t="s">
        <v>7</v>
      </c>
      <c r="I21" s="715"/>
      <c r="J21" s="715" t="s">
        <v>16</v>
      </c>
      <c r="K21" s="716"/>
      <c r="L21" s="77"/>
      <c r="M21" s="27"/>
      <c r="N21" s="786" t="s">
        <v>7</v>
      </c>
      <c r="O21" s="786"/>
      <c r="P21" s="786" t="s">
        <v>16</v>
      </c>
      <c r="Q21" s="787"/>
      <c r="R21" s="25"/>
      <c r="S21" s="49">
        <v>2</v>
      </c>
      <c r="T21" s="680" t="str">
        <f t="shared" ref="T21:T23" si="4">VLOOKUP($S21,$M$45:$P$48,2,FALSE)</f>
        <v>Equipe 10</v>
      </c>
      <c r="U21" s="680"/>
      <c r="V21" s="681">
        <f t="shared" ref="V21:V23" si="5">VLOOKUP($S21,$M$45:$P$48,4,FALSE)</f>
        <v>2.9999999999999999E-7</v>
      </c>
      <c r="W21" s="682"/>
    </row>
    <row r="22" spans="1:23" x14ac:dyDescent="0.25">
      <c r="A22" s="30">
        <f>M19+$J$6+"00:02"</f>
        <v>0.47499999999999964</v>
      </c>
      <c r="B22" s="31" t="str">
        <f>B8</f>
        <v>Equipe 1</v>
      </c>
      <c r="C22" s="31" t="str">
        <f>B11</f>
        <v>Equipe 4</v>
      </c>
      <c r="D22" s="53"/>
      <c r="E22" s="54"/>
      <c r="F22" s="2"/>
      <c r="G22" s="32">
        <f>A23+$J$6+"00:02"</f>
        <v>0.49166666666666625</v>
      </c>
      <c r="H22" s="33" t="str">
        <f>H8</f>
        <v>Equipe 5</v>
      </c>
      <c r="I22" s="33" t="str">
        <f>H11</f>
        <v>Equipe 8</v>
      </c>
      <c r="J22" s="57"/>
      <c r="K22" s="58"/>
      <c r="L22" s="76"/>
      <c r="M22" s="34">
        <f>G23+J6+"00:02"</f>
        <v>0.50833333333333286</v>
      </c>
      <c r="N22" s="35" t="str">
        <f>N8</f>
        <v>Equipe 9</v>
      </c>
      <c r="O22" s="35" t="str">
        <f>N11</f>
        <v>Equipe 12</v>
      </c>
      <c r="P22" s="61"/>
      <c r="Q22" s="62"/>
      <c r="R22" s="2"/>
      <c r="S22" s="49">
        <v>3</v>
      </c>
      <c r="T22" s="680" t="str">
        <f t="shared" si="4"/>
        <v>Equipe 11</v>
      </c>
      <c r="U22" s="680"/>
      <c r="V22" s="681">
        <f t="shared" si="5"/>
        <v>1.9999999999999999E-7</v>
      </c>
      <c r="W22" s="682"/>
    </row>
    <row r="23" spans="1:23" ht="15.75" thickBot="1" x14ac:dyDescent="0.3">
      <c r="A23" s="38">
        <f>A22+$J$6+"00:02"</f>
        <v>0.48333333333333295</v>
      </c>
      <c r="B23" s="39" t="str">
        <f>B9</f>
        <v>Equipe 2</v>
      </c>
      <c r="C23" s="39" t="str">
        <f>B10</f>
        <v>Equipe 3</v>
      </c>
      <c r="D23" s="55"/>
      <c r="E23" s="56"/>
      <c r="F23" s="47"/>
      <c r="G23" s="40">
        <f>G22+$J$6+"00:02"</f>
        <v>0.49999999999999956</v>
      </c>
      <c r="H23" s="41" t="str">
        <f>H9</f>
        <v>Equipe 6</v>
      </c>
      <c r="I23" s="41" t="str">
        <f>H10</f>
        <v>Equipe 7</v>
      </c>
      <c r="J23" s="59"/>
      <c r="K23" s="60"/>
      <c r="L23" s="78"/>
      <c r="M23" s="42">
        <f>M22+J6+"00:02"</f>
        <v>0.51666666666666616</v>
      </c>
      <c r="N23" s="43" t="str">
        <f>N9</f>
        <v>Equipe 10</v>
      </c>
      <c r="O23" s="43" t="str">
        <f>N10</f>
        <v>Equipe 11</v>
      </c>
      <c r="P23" s="63"/>
      <c r="Q23" s="64"/>
      <c r="R23" s="47"/>
      <c r="S23" s="50">
        <v>4</v>
      </c>
      <c r="T23" s="706" t="str">
        <f t="shared" si="4"/>
        <v>Equipe 12</v>
      </c>
      <c r="U23" s="706"/>
      <c r="V23" s="709">
        <f t="shared" si="5"/>
        <v>9.9999999999999995E-8</v>
      </c>
      <c r="W23" s="710"/>
    </row>
    <row r="24" spans="1:23" ht="24.95" customHeight="1" thickBot="1" x14ac:dyDescent="0.3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4"/>
    </row>
    <row r="25" spans="1:23" ht="16.5" thickBot="1" x14ac:dyDescent="0.3">
      <c r="A25" s="701" t="s">
        <v>36</v>
      </c>
      <c r="B25" s="685"/>
      <c r="C25" s="685"/>
      <c r="D25" s="685"/>
      <c r="E25" s="685"/>
      <c r="F25" s="685"/>
      <c r="G25" s="685"/>
      <c r="H25" s="685"/>
      <c r="I25" s="79" t="s">
        <v>18</v>
      </c>
      <c r="J25" s="782">
        <v>9.0277777777777787E-3</v>
      </c>
      <c r="K25" s="782"/>
      <c r="L25" s="782"/>
      <c r="M25" s="72" t="s">
        <v>17</v>
      </c>
      <c r="N25" s="79"/>
      <c r="O25" s="79"/>
      <c r="P25" s="72"/>
      <c r="Q25" s="686"/>
      <c r="R25" s="686"/>
      <c r="S25" s="686"/>
      <c r="T25" s="686"/>
      <c r="U25" s="686"/>
      <c r="V25" s="686"/>
      <c r="W25" s="781"/>
    </row>
    <row r="26" spans="1:23" x14ac:dyDescent="0.25">
      <c r="A26" s="6"/>
      <c r="B26" s="912" t="s">
        <v>48</v>
      </c>
      <c r="C26" s="913"/>
      <c r="D26" s="912" t="s">
        <v>15</v>
      </c>
      <c r="E26" s="914"/>
      <c r="F26" s="102"/>
      <c r="G26" s="7"/>
      <c r="H26" s="915" t="s">
        <v>44</v>
      </c>
      <c r="I26" s="916"/>
      <c r="J26" s="915" t="s">
        <v>15</v>
      </c>
      <c r="K26" s="917"/>
      <c r="L26" s="76"/>
      <c r="M26" s="8"/>
      <c r="N26" s="852" t="s">
        <v>45</v>
      </c>
      <c r="O26" s="918"/>
      <c r="P26" s="804" t="s">
        <v>15</v>
      </c>
      <c r="Q26" s="806"/>
      <c r="R26" s="2"/>
      <c r="S26" s="9"/>
      <c r="T26" s="807" t="s">
        <v>46</v>
      </c>
      <c r="U26" s="910"/>
      <c r="V26" s="807" t="s">
        <v>15</v>
      </c>
      <c r="W26" s="809"/>
    </row>
    <row r="27" spans="1:23" x14ac:dyDescent="0.25">
      <c r="A27" s="10">
        <v>1</v>
      </c>
      <c r="B27" s="905" t="str">
        <f>IF(D14="","4eme A",T11)</f>
        <v>4eme A</v>
      </c>
      <c r="C27" s="906"/>
      <c r="D27" s="725">
        <f>A67+A68+C51/1000000</f>
        <v>0</v>
      </c>
      <c r="E27" s="726"/>
      <c r="F27" s="103"/>
      <c r="G27" s="11">
        <v>1</v>
      </c>
      <c r="H27" s="907" t="str">
        <f>IF(D14="","3eme A",T10)</f>
        <v>3eme A</v>
      </c>
      <c r="I27" s="908"/>
      <c r="J27" s="729">
        <f>G67+G68+I51/1000000</f>
        <v>0</v>
      </c>
      <c r="K27" s="730"/>
      <c r="L27" s="76"/>
      <c r="M27" s="12">
        <v>1</v>
      </c>
      <c r="N27" s="844" t="str">
        <f>IF(D14="","2eme A",T9)</f>
        <v>2eme A</v>
      </c>
      <c r="O27" s="909"/>
      <c r="P27" s="802">
        <f>M67+M68+O51/1000000</f>
        <v>0</v>
      </c>
      <c r="Q27" s="803"/>
      <c r="R27" s="2"/>
      <c r="S27" s="13">
        <v>1</v>
      </c>
      <c r="T27" s="835" t="str">
        <f>IF(D14="","1er A",T8)</f>
        <v>1er A</v>
      </c>
      <c r="U27" s="911"/>
      <c r="V27" s="798">
        <f>S67+S68+U51/1000000</f>
        <v>0</v>
      </c>
      <c r="W27" s="799"/>
    </row>
    <row r="28" spans="1:23" x14ac:dyDescent="0.25">
      <c r="A28" s="10">
        <v>2</v>
      </c>
      <c r="B28" s="905" t="str">
        <f>IF(D14="","4eme B",T17)</f>
        <v>4eme B</v>
      </c>
      <c r="C28" s="906"/>
      <c r="D28" s="725">
        <f>B67+A69+C52/1000000</f>
        <v>0</v>
      </c>
      <c r="E28" s="726"/>
      <c r="F28" s="103"/>
      <c r="G28" s="11">
        <v>2</v>
      </c>
      <c r="H28" s="907" t="str">
        <f>IF(D14="","3eme B",T16)</f>
        <v>3eme B</v>
      </c>
      <c r="I28" s="908"/>
      <c r="J28" s="729">
        <f>H67+G69+I52/1000000</f>
        <v>0</v>
      </c>
      <c r="K28" s="730"/>
      <c r="L28" s="76"/>
      <c r="M28" s="12">
        <v>2</v>
      </c>
      <c r="N28" s="844" t="str">
        <f>IF(D14="","2eme B",T15)</f>
        <v>2eme B</v>
      </c>
      <c r="O28" s="909"/>
      <c r="P28" s="802">
        <f>N67+M69+O52/1000000</f>
        <v>0</v>
      </c>
      <c r="Q28" s="803"/>
      <c r="R28" s="2"/>
      <c r="S28" s="13">
        <v>2</v>
      </c>
      <c r="T28" s="835" t="str">
        <f>IF(D14="","1er B",T14)</f>
        <v>1er B</v>
      </c>
      <c r="U28" s="911"/>
      <c r="V28" s="798">
        <f>T67+S69+U52/1000000</f>
        <v>0</v>
      </c>
      <c r="W28" s="799"/>
    </row>
    <row r="29" spans="1:23" ht="15.75" thickBot="1" x14ac:dyDescent="0.3">
      <c r="A29" s="15">
        <v>3</v>
      </c>
      <c r="B29" s="901" t="str">
        <f>IF(D14="","4eme C",T23)</f>
        <v>4eme C</v>
      </c>
      <c r="C29" s="902"/>
      <c r="D29" s="719">
        <f>B68+B69+C53/1000000</f>
        <v>0</v>
      </c>
      <c r="E29" s="720"/>
      <c r="F29" s="103"/>
      <c r="G29" s="16">
        <v>3</v>
      </c>
      <c r="H29" s="903" t="str">
        <f>IF(D14="","3eme C",T22)</f>
        <v>3eme C</v>
      </c>
      <c r="I29" s="904"/>
      <c r="J29" s="723">
        <f>H68+H69+I53/1000000</f>
        <v>0</v>
      </c>
      <c r="K29" s="724"/>
      <c r="L29" s="76"/>
      <c r="M29" s="17">
        <v>3</v>
      </c>
      <c r="N29" s="846" t="str">
        <f>IF(D14="","2eme C",T21)</f>
        <v>2eme C</v>
      </c>
      <c r="O29" s="889"/>
      <c r="P29" s="794">
        <f>N68+N69+O53/1000000</f>
        <v>0</v>
      </c>
      <c r="Q29" s="795"/>
      <c r="R29" s="2"/>
      <c r="S29" s="18">
        <v>3</v>
      </c>
      <c r="T29" s="837" t="str">
        <f>IF(D14="","1er C",T20)</f>
        <v>1er C</v>
      </c>
      <c r="U29" s="887"/>
      <c r="V29" s="790">
        <f>T68+T69+U53/1000000</f>
        <v>0</v>
      </c>
      <c r="W29" s="791"/>
    </row>
    <row r="30" spans="1:23" ht="15.75" thickBot="1" x14ac:dyDescent="0.3">
      <c r="A30" s="19"/>
      <c r="B30" s="2"/>
      <c r="C30" s="2"/>
      <c r="D30" s="2"/>
      <c r="E30" s="2"/>
      <c r="F30" s="2"/>
      <c r="G30" s="2"/>
      <c r="H30" s="2"/>
      <c r="I30" s="20"/>
      <c r="J30" s="2"/>
      <c r="K30" s="2"/>
      <c r="L30" s="85"/>
      <c r="M30" s="2"/>
      <c r="N30" s="2"/>
      <c r="O30" s="2"/>
      <c r="P30" s="2"/>
      <c r="Q30" s="2"/>
      <c r="R30" s="2"/>
      <c r="S30" s="2"/>
      <c r="T30" s="2"/>
      <c r="U30" s="2"/>
      <c r="V30" s="2"/>
      <c r="W30" s="21"/>
    </row>
    <row r="31" spans="1:23" s="29" customFormat="1" x14ac:dyDescent="0.25">
      <c r="A31" s="24"/>
      <c r="B31" s="713" t="s">
        <v>8</v>
      </c>
      <c r="C31" s="713"/>
      <c r="D31" s="713" t="s">
        <v>16</v>
      </c>
      <c r="E31" s="714"/>
      <c r="F31" s="25"/>
      <c r="G31" s="26"/>
      <c r="H31" s="715" t="s">
        <v>8</v>
      </c>
      <c r="I31" s="715"/>
      <c r="J31" s="715" t="s">
        <v>16</v>
      </c>
      <c r="K31" s="716"/>
      <c r="L31" s="77"/>
      <c r="M31" s="27"/>
      <c r="N31" s="786" t="s">
        <v>8</v>
      </c>
      <c r="O31" s="786"/>
      <c r="P31" s="786" t="s">
        <v>16</v>
      </c>
      <c r="Q31" s="787"/>
      <c r="R31" s="25"/>
      <c r="S31" s="28"/>
      <c r="T31" s="784" t="s">
        <v>8</v>
      </c>
      <c r="U31" s="784"/>
      <c r="V31" s="784" t="s">
        <v>16</v>
      </c>
      <c r="W31" s="785"/>
    </row>
    <row r="32" spans="1:23" x14ac:dyDescent="0.25">
      <c r="A32" s="30">
        <f>M23+J6+"00:02"+L5</f>
        <v>0.54166666666666619</v>
      </c>
      <c r="B32" s="31" t="str">
        <f>B27</f>
        <v>4eme A</v>
      </c>
      <c r="C32" s="31" t="str">
        <f>B28</f>
        <v>4eme B</v>
      </c>
      <c r="D32" s="53"/>
      <c r="E32" s="54"/>
      <c r="F32" s="2"/>
      <c r="G32" s="32">
        <f>A32+$J$25+"00:02"</f>
        <v>0.55208333333333282</v>
      </c>
      <c r="H32" s="33" t="str">
        <f>H27</f>
        <v>3eme A</v>
      </c>
      <c r="I32" s="33" t="str">
        <f>H28</f>
        <v>3eme B</v>
      </c>
      <c r="J32" s="57"/>
      <c r="K32" s="58"/>
      <c r="L32" s="76"/>
      <c r="M32" s="34">
        <f>G32+$J$25+"00:02"</f>
        <v>0.56249999999999944</v>
      </c>
      <c r="N32" s="35" t="str">
        <f>N27</f>
        <v>2eme A</v>
      </c>
      <c r="O32" s="35" t="str">
        <f>N28</f>
        <v>2eme B</v>
      </c>
      <c r="P32" s="61"/>
      <c r="Q32" s="62"/>
      <c r="R32" s="2"/>
      <c r="S32" s="36">
        <f>M32+$J$25+"00:02"</f>
        <v>0.57291666666666607</v>
      </c>
      <c r="T32" s="37" t="str">
        <f>T27</f>
        <v>1er A</v>
      </c>
      <c r="U32" s="37" t="str">
        <f>T28</f>
        <v>1er B</v>
      </c>
      <c r="V32" s="65"/>
      <c r="W32" s="66"/>
    </row>
    <row r="33" spans="1:23" x14ac:dyDescent="0.25">
      <c r="A33" s="30">
        <f>S32+J25+"00:02"</f>
        <v>0.5833333333333327</v>
      </c>
      <c r="B33" s="31" t="str">
        <f>B27</f>
        <v>4eme A</v>
      </c>
      <c r="C33" s="31" t="str">
        <f>B29</f>
        <v>4eme C</v>
      </c>
      <c r="D33" s="53"/>
      <c r="E33" s="54"/>
      <c r="F33" s="2"/>
      <c r="G33" s="32">
        <f>A33+$J$25+"00:02"</f>
        <v>0.59374999999999933</v>
      </c>
      <c r="H33" s="33" t="str">
        <f>H27</f>
        <v>3eme A</v>
      </c>
      <c r="I33" s="33" t="str">
        <f>H29</f>
        <v>3eme C</v>
      </c>
      <c r="J33" s="57"/>
      <c r="K33" s="58"/>
      <c r="L33" s="76"/>
      <c r="M33" s="34">
        <f t="shared" ref="M33:M34" si="6">G33+$J$25+"00:02"</f>
        <v>0.60416666666666596</v>
      </c>
      <c r="N33" s="35" t="str">
        <f>N27</f>
        <v>2eme A</v>
      </c>
      <c r="O33" s="35" t="str">
        <f>N29</f>
        <v>2eme C</v>
      </c>
      <c r="P33" s="61"/>
      <c r="Q33" s="62"/>
      <c r="R33" s="2"/>
      <c r="S33" s="36">
        <f t="shared" ref="S33:S34" si="7">M33+$J$25+"00:02"</f>
        <v>0.61458333333333259</v>
      </c>
      <c r="T33" s="37" t="str">
        <f>T27</f>
        <v>1er A</v>
      </c>
      <c r="U33" s="37" t="str">
        <f>T29</f>
        <v>1er C</v>
      </c>
      <c r="V33" s="65"/>
      <c r="W33" s="66"/>
    </row>
    <row r="34" spans="1:23" ht="15.75" thickBot="1" x14ac:dyDescent="0.3">
      <c r="A34" s="38">
        <f>S33+J25+"00:02"</f>
        <v>0.62499999999999922</v>
      </c>
      <c r="B34" s="39" t="str">
        <f>B28</f>
        <v>4eme B</v>
      </c>
      <c r="C34" s="39" t="str">
        <f>B29</f>
        <v>4eme C</v>
      </c>
      <c r="D34" s="55"/>
      <c r="E34" s="56"/>
      <c r="F34" s="47"/>
      <c r="G34" s="40">
        <f>A34+$J$25+"00:02"</f>
        <v>0.63541666666666585</v>
      </c>
      <c r="H34" s="41" t="str">
        <f>H28</f>
        <v>3eme B</v>
      </c>
      <c r="I34" s="41" t="str">
        <f>H29</f>
        <v>3eme C</v>
      </c>
      <c r="J34" s="59"/>
      <c r="K34" s="60"/>
      <c r="L34" s="78"/>
      <c r="M34" s="42">
        <f t="shared" si="6"/>
        <v>0.64583333333333248</v>
      </c>
      <c r="N34" s="43" t="str">
        <f>N28</f>
        <v>2eme B</v>
      </c>
      <c r="O34" s="43" t="str">
        <f>N29</f>
        <v>2eme C</v>
      </c>
      <c r="P34" s="63"/>
      <c r="Q34" s="64"/>
      <c r="R34" s="47"/>
      <c r="S34" s="44">
        <f t="shared" si="7"/>
        <v>0.65624999999999911</v>
      </c>
      <c r="T34" s="45" t="str">
        <f>T28</f>
        <v>1er B</v>
      </c>
      <c r="U34" s="45" t="str">
        <f>T29</f>
        <v>1er C</v>
      </c>
      <c r="V34" s="67"/>
      <c r="W34" s="68"/>
    </row>
    <row r="35" spans="1:23" ht="15.75" thickBot="1" x14ac:dyDescent="0.3">
      <c r="A35" s="10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107"/>
    </row>
    <row r="36" spans="1:23" ht="16.5" thickBot="1" x14ac:dyDescent="0.3">
      <c r="A36" s="670" t="s">
        <v>47</v>
      </c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2"/>
    </row>
    <row r="37" spans="1:23" x14ac:dyDescent="0.25">
      <c r="A37" s="84"/>
      <c r="B37" s="874" t="s">
        <v>48</v>
      </c>
      <c r="C37" s="874"/>
      <c r="D37" s="874" t="s">
        <v>15</v>
      </c>
      <c r="E37" s="894"/>
      <c r="F37" s="773"/>
      <c r="G37" s="90"/>
      <c r="H37" s="874" t="s">
        <v>44</v>
      </c>
      <c r="I37" s="874"/>
      <c r="J37" s="874" t="s">
        <v>15</v>
      </c>
      <c r="K37" s="894"/>
      <c r="L37" s="929"/>
      <c r="M37" s="90"/>
      <c r="N37" s="874" t="s">
        <v>45</v>
      </c>
      <c r="O37" s="874"/>
      <c r="P37" s="874" t="s">
        <v>15</v>
      </c>
      <c r="Q37" s="894"/>
      <c r="R37" s="926"/>
      <c r="S37" s="96"/>
      <c r="T37" s="711" t="s">
        <v>46</v>
      </c>
      <c r="U37" s="711"/>
      <c r="V37" s="711" t="s">
        <v>15</v>
      </c>
      <c r="W37" s="712"/>
    </row>
    <row r="38" spans="1:23" x14ac:dyDescent="0.25">
      <c r="A38" s="86">
        <v>1</v>
      </c>
      <c r="B38" s="680" t="str">
        <f>VLOOKUP($A38,$A$51:$D$53,2,FALSE)</f>
        <v>4eme A</v>
      </c>
      <c r="C38" s="680"/>
      <c r="D38" s="681">
        <f>VLOOKUP($A38,$A$51:$D$53,4,FALSE)</f>
        <v>2.9999999999999999E-7</v>
      </c>
      <c r="E38" s="681"/>
      <c r="F38" s="774"/>
      <c r="G38" s="91">
        <v>1</v>
      </c>
      <c r="H38" s="680" t="str">
        <f>VLOOKUP($G38,$G$51:$J$53,2,FALSE)</f>
        <v>3eme A</v>
      </c>
      <c r="I38" s="680"/>
      <c r="J38" s="681">
        <f>VLOOKUP($G38,$G$51:$J$53,4,FALSE)</f>
        <v>2.9999999999999999E-7</v>
      </c>
      <c r="K38" s="681"/>
      <c r="L38" s="930"/>
      <c r="M38" s="91">
        <v>1</v>
      </c>
      <c r="N38" s="680" t="str">
        <f>VLOOKUP($M38,$M$51:$P$53,2,FALSE)</f>
        <v>2eme A</v>
      </c>
      <c r="O38" s="680"/>
      <c r="P38" s="681">
        <f>VLOOKUP($M38,$M$51:$P$53,4,FALSE)</f>
        <v>2.9999999999999999E-7</v>
      </c>
      <c r="Q38" s="681"/>
      <c r="R38" s="927"/>
      <c r="S38" s="86">
        <v>1</v>
      </c>
      <c r="T38" s="680" t="str">
        <f>VLOOKUP($S38,$S$51:$V$53,2,FALSE)</f>
        <v>1er A</v>
      </c>
      <c r="U38" s="680"/>
      <c r="V38" s="681">
        <f>VLOOKUP($S38,$S$51:$V$53,4,FALSE)</f>
        <v>2.9999999999999999E-7</v>
      </c>
      <c r="W38" s="682"/>
    </row>
    <row r="39" spans="1:23" x14ac:dyDescent="0.25">
      <c r="A39" s="86">
        <v>2</v>
      </c>
      <c r="B39" s="680" t="str">
        <f t="shared" ref="B39:B40" si="8">VLOOKUP($A39,$A$51:$D$53,2,FALSE)</f>
        <v>4eme B</v>
      </c>
      <c r="C39" s="680"/>
      <c r="D39" s="681">
        <f t="shared" ref="D39:D40" si="9">VLOOKUP($A39,$A$51:$D$53,4,FALSE)</f>
        <v>1.9999999999999999E-7</v>
      </c>
      <c r="E39" s="681"/>
      <c r="F39" s="774"/>
      <c r="G39" s="91">
        <v>2</v>
      </c>
      <c r="H39" s="680" t="str">
        <f t="shared" ref="H39:H40" si="10">VLOOKUP($G39,$G$51:$J$53,2,FALSE)</f>
        <v>3eme B</v>
      </c>
      <c r="I39" s="680"/>
      <c r="J39" s="681">
        <f t="shared" ref="J39:J40" si="11">VLOOKUP($G39,$G$51:$J$53,4,FALSE)</f>
        <v>1.9999999999999999E-7</v>
      </c>
      <c r="K39" s="681"/>
      <c r="L39" s="930"/>
      <c r="M39" s="91">
        <v>2</v>
      </c>
      <c r="N39" s="680" t="str">
        <f t="shared" ref="N39:N40" si="12">VLOOKUP($M39,$M$51:$P$53,2,FALSE)</f>
        <v>2eme B</v>
      </c>
      <c r="O39" s="680"/>
      <c r="P39" s="681">
        <f t="shared" ref="P39:P40" si="13">VLOOKUP($M39,$M$51:$P$53,4,FALSE)</f>
        <v>1.9999999999999999E-7</v>
      </c>
      <c r="Q39" s="681"/>
      <c r="R39" s="927"/>
      <c r="S39" s="86">
        <v>2</v>
      </c>
      <c r="T39" s="680" t="str">
        <f t="shared" ref="T39:T40" si="14">VLOOKUP($S39,$S$51:$V$53,2,FALSE)</f>
        <v>1er B</v>
      </c>
      <c r="U39" s="680"/>
      <c r="V39" s="681">
        <f t="shared" ref="V39:V40" si="15">VLOOKUP($S39,$S$51:$V$53,4,FALSE)</f>
        <v>1.9999999999999999E-7</v>
      </c>
      <c r="W39" s="682"/>
    </row>
    <row r="40" spans="1:23" ht="15.75" thickBot="1" x14ac:dyDescent="0.3">
      <c r="A40" s="87">
        <v>3</v>
      </c>
      <c r="B40" s="680" t="str">
        <f t="shared" si="8"/>
        <v>4eme C</v>
      </c>
      <c r="C40" s="680"/>
      <c r="D40" s="681">
        <f t="shared" si="9"/>
        <v>9.9999999999999995E-8</v>
      </c>
      <c r="E40" s="681"/>
      <c r="F40" s="775"/>
      <c r="G40" s="92">
        <v>3</v>
      </c>
      <c r="H40" s="680" t="str">
        <f t="shared" si="10"/>
        <v>3eme C</v>
      </c>
      <c r="I40" s="680"/>
      <c r="J40" s="681">
        <f t="shared" si="11"/>
        <v>9.9999999999999995E-8</v>
      </c>
      <c r="K40" s="681"/>
      <c r="L40" s="931"/>
      <c r="M40" s="92">
        <v>3</v>
      </c>
      <c r="N40" s="680" t="str">
        <f t="shared" si="12"/>
        <v>2eme C</v>
      </c>
      <c r="O40" s="680"/>
      <c r="P40" s="681">
        <f t="shared" si="13"/>
        <v>9.9999999999999995E-8</v>
      </c>
      <c r="Q40" s="681"/>
      <c r="R40" s="928"/>
      <c r="S40" s="87">
        <v>3</v>
      </c>
      <c r="T40" s="706" t="str">
        <f t="shared" si="14"/>
        <v>1er C</v>
      </c>
      <c r="U40" s="706"/>
      <c r="V40" s="709">
        <f t="shared" si="15"/>
        <v>9.9999999999999995E-8</v>
      </c>
      <c r="W40" s="710"/>
    </row>
    <row r="41" spans="1:23" ht="15.75" thickBot="1" x14ac:dyDescent="0.3">
      <c r="A41" s="768" t="s">
        <v>34</v>
      </c>
      <c r="B41" s="675"/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6"/>
    </row>
    <row r="42" spans="1:23" x14ac:dyDescent="0.25">
      <c r="U42" s="932" t="s">
        <v>114</v>
      </c>
      <c r="V42" s="932"/>
      <c r="W42" s="932"/>
    </row>
    <row r="43" spans="1:23" ht="16.5" hidden="1" thickBot="1" x14ac:dyDescent="0.3">
      <c r="A43" s="670" t="s">
        <v>49</v>
      </c>
      <c r="B43" s="671"/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2"/>
      <c r="R43" s="98"/>
      <c r="S43" s="98"/>
      <c r="T43" s="98"/>
      <c r="U43" s="98"/>
      <c r="V43" s="98"/>
      <c r="W43" s="98"/>
    </row>
    <row r="44" spans="1:23" ht="14.45" hidden="1" customHeight="1" x14ac:dyDescent="0.25">
      <c r="A44" s="84"/>
      <c r="B44" s="772" t="s">
        <v>1</v>
      </c>
      <c r="C44" s="924"/>
      <c r="D44" s="772" t="s">
        <v>15</v>
      </c>
      <c r="E44" s="924"/>
      <c r="F44" s="923"/>
      <c r="G44" s="82"/>
      <c r="H44" s="772" t="s">
        <v>2</v>
      </c>
      <c r="I44" s="924"/>
      <c r="J44" s="772" t="s">
        <v>15</v>
      </c>
      <c r="K44" s="924"/>
      <c r="L44" s="85"/>
      <c r="M44" s="82"/>
      <c r="N44" s="772" t="s">
        <v>3</v>
      </c>
      <c r="O44" s="924"/>
      <c r="P44" s="772" t="s">
        <v>15</v>
      </c>
      <c r="Q44" s="925"/>
      <c r="R44" s="2"/>
      <c r="S44" s="99"/>
      <c r="T44" s="920"/>
      <c r="U44" s="920"/>
      <c r="V44" s="920"/>
      <c r="W44" s="920"/>
    </row>
    <row r="45" spans="1:23" ht="14.45" hidden="1" customHeight="1" x14ac:dyDescent="0.25">
      <c r="A45" s="86">
        <f>RANK(D45,$D$45:$D$48)</f>
        <v>1</v>
      </c>
      <c r="B45" s="69" t="str">
        <f>B8</f>
        <v>Equipe 1</v>
      </c>
      <c r="C45" s="69">
        <f>D14-E14+D18-E18+D22-E22</f>
        <v>0</v>
      </c>
      <c r="D45" s="681">
        <f>D8+4/10000000</f>
        <v>3.9999999999999998E-7</v>
      </c>
      <c r="E45" s="921"/>
      <c r="F45" s="873"/>
      <c r="G45" s="86">
        <f>RANK(J45,$J$45:$J$48)</f>
        <v>1</v>
      </c>
      <c r="H45" s="69" t="str">
        <f>H8</f>
        <v>Equipe 5</v>
      </c>
      <c r="I45" s="69">
        <f>J14-K14+J18-K18+J22-K22</f>
        <v>0</v>
      </c>
      <c r="J45" s="681">
        <f>J8+4/10000000</f>
        <v>3.9999999999999998E-7</v>
      </c>
      <c r="K45" s="921"/>
      <c r="L45" s="85"/>
      <c r="M45" s="86">
        <f>RANK(P45,$P$45:$P$48)</f>
        <v>1</v>
      </c>
      <c r="N45" s="69" t="str">
        <f>N8</f>
        <v>Equipe 9</v>
      </c>
      <c r="O45" s="69">
        <f>P14-Q14+P18-Q18+P22-Q22</f>
        <v>0</v>
      </c>
      <c r="P45" s="681">
        <f>P8+4/10000000</f>
        <v>3.9999999999999998E-7</v>
      </c>
      <c r="Q45" s="922"/>
      <c r="R45" s="2"/>
      <c r="S45" s="94"/>
      <c r="T45" s="95"/>
      <c r="U45" s="95"/>
      <c r="V45" s="919"/>
      <c r="W45" s="919"/>
    </row>
    <row r="46" spans="1:23" ht="14.45" hidden="1" customHeight="1" x14ac:dyDescent="0.25">
      <c r="A46" s="86">
        <f t="shared" ref="A46:A48" si="16">RANK(D46,$D$45:$D$48)</f>
        <v>2</v>
      </c>
      <c r="B46" s="69" t="str">
        <f t="shared" ref="B46:B48" si="17">B9</f>
        <v>Equipe 2</v>
      </c>
      <c r="C46" s="69">
        <f>E14-D14+D19-E19+D23-E23</f>
        <v>0</v>
      </c>
      <c r="D46" s="681">
        <f>D9+3/10000000</f>
        <v>2.9999999999999999E-7</v>
      </c>
      <c r="E46" s="921"/>
      <c r="F46" s="873"/>
      <c r="G46" s="86">
        <f t="shared" ref="G46:G48" si="18">RANK(J46,$J$45:$J$48)</f>
        <v>2</v>
      </c>
      <c r="H46" s="69" t="str">
        <f t="shared" ref="H46:H48" si="19">H9</f>
        <v>Equipe 6</v>
      </c>
      <c r="I46" s="69">
        <f>K14-J14+J19-K19+J23-K23</f>
        <v>0</v>
      </c>
      <c r="J46" s="681">
        <f>J9+3/10000000</f>
        <v>2.9999999999999999E-7</v>
      </c>
      <c r="K46" s="921"/>
      <c r="L46" s="85"/>
      <c r="M46" s="86">
        <f t="shared" ref="M46:M48" si="20">RANK(P46,$P$45:$P$48)</f>
        <v>2</v>
      </c>
      <c r="N46" s="69" t="str">
        <f t="shared" ref="N46:N48" si="21">N9</f>
        <v>Equipe 10</v>
      </c>
      <c r="O46" s="69">
        <f>Q14-P14+P19-Q19+P23-Q23</f>
        <v>0</v>
      </c>
      <c r="P46" s="681">
        <f>P9+3/10000000</f>
        <v>2.9999999999999999E-7</v>
      </c>
      <c r="Q46" s="922"/>
      <c r="R46" s="2"/>
      <c r="S46" s="94"/>
      <c r="T46" s="95"/>
      <c r="U46" s="95"/>
      <c r="V46" s="919"/>
      <c r="W46" s="919"/>
    </row>
    <row r="47" spans="1:23" ht="14.45" hidden="1" customHeight="1" x14ac:dyDescent="0.25">
      <c r="A47" s="86">
        <f t="shared" si="16"/>
        <v>3</v>
      </c>
      <c r="B47" s="69" t="str">
        <f t="shared" si="17"/>
        <v>Equipe 3</v>
      </c>
      <c r="C47" s="69">
        <f>D15-E15+E18-D18+E23-D23</f>
        <v>0</v>
      </c>
      <c r="D47" s="681">
        <f>D10+2/10000000</f>
        <v>1.9999999999999999E-7</v>
      </c>
      <c r="E47" s="921"/>
      <c r="F47" s="873"/>
      <c r="G47" s="86">
        <f t="shared" si="18"/>
        <v>3</v>
      </c>
      <c r="H47" s="69" t="str">
        <f t="shared" si="19"/>
        <v>Equipe 7</v>
      </c>
      <c r="I47" s="69">
        <f>J15-K15+K18-J18+K23-J23</f>
        <v>0</v>
      </c>
      <c r="J47" s="681">
        <f>J10+2/10000000</f>
        <v>1.9999999999999999E-7</v>
      </c>
      <c r="K47" s="921"/>
      <c r="L47" s="85"/>
      <c r="M47" s="86">
        <f t="shared" si="20"/>
        <v>3</v>
      </c>
      <c r="N47" s="69" t="str">
        <f t="shared" si="21"/>
        <v>Equipe 11</v>
      </c>
      <c r="O47" s="69">
        <f>P15-Q15+Q18-P18+Q23-P23</f>
        <v>0</v>
      </c>
      <c r="P47" s="681">
        <f>P10+2/10000000</f>
        <v>1.9999999999999999E-7</v>
      </c>
      <c r="Q47" s="922"/>
      <c r="R47" s="2"/>
      <c r="S47" s="94"/>
      <c r="T47" s="95"/>
      <c r="U47" s="95"/>
      <c r="V47" s="919"/>
      <c r="W47" s="919"/>
    </row>
    <row r="48" spans="1:23" ht="14.45" hidden="1" customHeight="1" thickBot="1" x14ac:dyDescent="0.3">
      <c r="A48" s="100">
        <f t="shared" si="16"/>
        <v>4</v>
      </c>
      <c r="B48" s="101" t="str">
        <f t="shared" si="17"/>
        <v>Equipe 4</v>
      </c>
      <c r="C48" s="101">
        <f>E15-D15+E19-D19+E22-D22</f>
        <v>0</v>
      </c>
      <c r="D48" s="895">
        <f>D11+1/10000000</f>
        <v>9.9999999999999995E-8</v>
      </c>
      <c r="E48" s="896"/>
      <c r="F48" s="873"/>
      <c r="G48" s="100">
        <f t="shared" si="18"/>
        <v>4</v>
      </c>
      <c r="H48" s="101" t="str">
        <f t="shared" si="19"/>
        <v>Equipe 8</v>
      </c>
      <c r="I48" s="101">
        <f>K15-J15+K19-J19+K22-J22</f>
        <v>0</v>
      </c>
      <c r="J48" s="895">
        <f>J11+1/10000000</f>
        <v>9.9999999999999995E-8</v>
      </c>
      <c r="K48" s="896"/>
      <c r="L48" s="85"/>
      <c r="M48" s="100">
        <f t="shared" si="20"/>
        <v>4</v>
      </c>
      <c r="N48" s="101" t="str">
        <f t="shared" si="21"/>
        <v>Equipe 12</v>
      </c>
      <c r="O48" s="101">
        <f>Q15-P15+Q19-P19+Q22-P22</f>
        <v>0</v>
      </c>
      <c r="P48" s="895">
        <f>P11+1/10000000</f>
        <v>9.9999999999999995E-8</v>
      </c>
      <c r="Q48" s="897"/>
      <c r="R48" s="2"/>
      <c r="S48" s="94"/>
      <c r="T48" s="95"/>
      <c r="U48" s="95"/>
      <c r="V48" s="919"/>
      <c r="W48" s="919"/>
    </row>
    <row r="49" spans="1:23" ht="16.5" hidden="1" thickBot="1" x14ac:dyDescent="0.3">
      <c r="A49" s="891" t="s">
        <v>47</v>
      </c>
      <c r="B49" s="892"/>
      <c r="C49" s="892"/>
      <c r="D49" s="892"/>
      <c r="E49" s="892"/>
      <c r="F49" s="671"/>
      <c r="G49" s="892"/>
      <c r="H49" s="892"/>
      <c r="I49" s="892"/>
      <c r="J49" s="892"/>
      <c r="K49" s="892"/>
      <c r="L49" s="671"/>
      <c r="M49" s="892"/>
      <c r="N49" s="892"/>
      <c r="O49" s="892"/>
      <c r="P49" s="892"/>
      <c r="Q49" s="892"/>
      <c r="R49" s="671"/>
      <c r="S49" s="892"/>
      <c r="T49" s="892"/>
      <c r="U49" s="892"/>
      <c r="V49" s="892"/>
      <c r="W49" s="893"/>
    </row>
    <row r="50" spans="1:23" ht="14.45" hidden="1" customHeight="1" x14ac:dyDescent="0.25">
      <c r="A50" s="96"/>
      <c r="B50" s="711" t="s">
        <v>48</v>
      </c>
      <c r="C50" s="711"/>
      <c r="D50" s="711" t="s">
        <v>15</v>
      </c>
      <c r="E50" s="712"/>
      <c r="F50" s="898"/>
      <c r="G50" s="96"/>
      <c r="H50" s="711" t="s">
        <v>50</v>
      </c>
      <c r="I50" s="711"/>
      <c r="J50" s="711" t="s">
        <v>15</v>
      </c>
      <c r="K50" s="712"/>
      <c r="L50" s="85"/>
      <c r="M50" s="96"/>
      <c r="N50" s="711" t="s">
        <v>45</v>
      </c>
      <c r="O50" s="711"/>
      <c r="P50" s="711" t="s">
        <v>15</v>
      </c>
      <c r="Q50" s="712"/>
      <c r="R50" s="2"/>
      <c r="S50" s="96"/>
      <c r="T50" s="711" t="s">
        <v>46</v>
      </c>
      <c r="U50" s="711"/>
      <c r="V50" s="711" t="s">
        <v>15</v>
      </c>
      <c r="W50" s="712"/>
    </row>
    <row r="51" spans="1:23" ht="14.45" hidden="1" customHeight="1" x14ac:dyDescent="0.25">
      <c r="A51" s="86">
        <f>RANK(D51,$D$51:$D$53)</f>
        <v>1</v>
      </c>
      <c r="B51" s="69" t="str">
        <f>B27</f>
        <v>4eme A</v>
      </c>
      <c r="C51" s="69">
        <f>D32-E32+D33-E33</f>
        <v>0</v>
      </c>
      <c r="D51" s="681">
        <f>D27+3/10000000</f>
        <v>2.9999999999999999E-7</v>
      </c>
      <c r="E51" s="682"/>
      <c r="F51" s="899"/>
      <c r="G51" s="86">
        <f>RANK(J51,$J$51:$J$53)</f>
        <v>1</v>
      </c>
      <c r="H51" s="69" t="str">
        <f>H27</f>
        <v>3eme A</v>
      </c>
      <c r="I51" s="69">
        <f>J32-K32+J33-K33</f>
        <v>0</v>
      </c>
      <c r="J51" s="681">
        <f>J27+3/10000000</f>
        <v>2.9999999999999999E-7</v>
      </c>
      <c r="K51" s="682"/>
      <c r="L51" s="85"/>
      <c r="M51" s="86">
        <f>RANK(P51,$P$51:$P$53)</f>
        <v>1</v>
      </c>
      <c r="N51" s="69" t="str">
        <f>N27</f>
        <v>2eme A</v>
      </c>
      <c r="O51" s="69">
        <f>P32-Q32+P33-Q33</f>
        <v>0</v>
      </c>
      <c r="P51" s="681">
        <f>P27+3/10000000</f>
        <v>2.9999999999999999E-7</v>
      </c>
      <c r="Q51" s="682"/>
      <c r="R51" s="2"/>
      <c r="S51" s="86">
        <f>RANK(V51,$V$51:$V$53)</f>
        <v>1</v>
      </c>
      <c r="T51" s="69" t="str">
        <f>T27</f>
        <v>1er A</v>
      </c>
      <c r="U51" s="69">
        <f>V32-W32+V33-W33</f>
        <v>0</v>
      </c>
      <c r="V51" s="681">
        <f>V27+3/10000000</f>
        <v>2.9999999999999999E-7</v>
      </c>
      <c r="W51" s="682"/>
    </row>
    <row r="52" spans="1:23" ht="14.45" hidden="1" customHeight="1" x14ac:dyDescent="0.25">
      <c r="A52" s="86">
        <f t="shared" ref="A52:A53" si="22">RANK(D52,$D$51:$D$53)</f>
        <v>2</v>
      </c>
      <c r="B52" s="69" t="str">
        <f t="shared" ref="B52:B53" si="23">B28</f>
        <v>4eme B</v>
      </c>
      <c r="C52" s="69">
        <f>E32-D32+D34-E34</f>
        <v>0</v>
      </c>
      <c r="D52" s="681">
        <f>D28+2/10000000</f>
        <v>1.9999999999999999E-7</v>
      </c>
      <c r="E52" s="682"/>
      <c r="F52" s="899"/>
      <c r="G52" s="86">
        <f t="shared" ref="G52:G53" si="24">RANK(J52,$J$51:$J$53)</f>
        <v>2</v>
      </c>
      <c r="H52" s="69" t="str">
        <f t="shared" ref="H52:H53" si="25">H28</f>
        <v>3eme B</v>
      </c>
      <c r="I52" s="69">
        <f>K32-J32+J34-K34</f>
        <v>0</v>
      </c>
      <c r="J52" s="681">
        <f>J28+2/10000000</f>
        <v>1.9999999999999999E-7</v>
      </c>
      <c r="K52" s="682"/>
      <c r="L52" s="85"/>
      <c r="M52" s="86">
        <f t="shared" ref="M52:M53" si="26">RANK(P52,$P$51:$P$53)</f>
        <v>2</v>
      </c>
      <c r="N52" s="69" t="str">
        <f t="shared" ref="N52:N53" si="27">N28</f>
        <v>2eme B</v>
      </c>
      <c r="O52" s="69">
        <f>Q32-P32+P34-Q34</f>
        <v>0</v>
      </c>
      <c r="P52" s="681">
        <f>P28+2/10000000</f>
        <v>1.9999999999999999E-7</v>
      </c>
      <c r="Q52" s="682"/>
      <c r="R52" s="2"/>
      <c r="S52" s="86">
        <f t="shared" ref="S52:S53" si="28">RANK(V52,$V$51:$V$53)</f>
        <v>2</v>
      </c>
      <c r="T52" s="69" t="str">
        <f t="shared" ref="T52:T53" si="29">T28</f>
        <v>1er B</v>
      </c>
      <c r="U52" s="69">
        <f>W32-V32+V34-W34</f>
        <v>0</v>
      </c>
      <c r="V52" s="681">
        <f>V28+2/10000000</f>
        <v>1.9999999999999999E-7</v>
      </c>
      <c r="W52" s="682"/>
    </row>
    <row r="53" spans="1:23" ht="14.45" hidden="1" customHeight="1" thickBot="1" x14ac:dyDescent="0.3">
      <c r="A53" s="87">
        <f t="shared" si="22"/>
        <v>3</v>
      </c>
      <c r="B53" s="88" t="str">
        <f t="shared" si="23"/>
        <v>4eme C</v>
      </c>
      <c r="C53" s="88">
        <f>E33-D33+E34-D34</f>
        <v>0</v>
      </c>
      <c r="D53" s="709">
        <f>D29+1/10000000</f>
        <v>9.9999999999999995E-8</v>
      </c>
      <c r="E53" s="710"/>
      <c r="F53" s="900"/>
      <c r="G53" s="87">
        <f t="shared" si="24"/>
        <v>3</v>
      </c>
      <c r="H53" s="88" t="str">
        <f t="shared" si="25"/>
        <v>3eme C</v>
      </c>
      <c r="I53" s="88">
        <f>K33-J33+K34-J34</f>
        <v>0</v>
      </c>
      <c r="J53" s="709">
        <f>J29+1/10000000</f>
        <v>9.9999999999999995E-8</v>
      </c>
      <c r="K53" s="710"/>
      <c r="L53" s="89"/>
      <c r="M53" s="87">
        <f t="shared" si="26"/>
        <v>3</v>
      </c>
      <c r="N53" s="88" t="str">
        <f t="shared" si="27"/>
        <v>2eme C</v>
      </c>
      <c r="O53" s="88">
        <f>Q33-P33+Q34-P34</f>
        <v>0</v>
      </c>
      <c r="P53" s="709">
        <f>P29+1/10000000</f>
        <v>9.9999999999999995E-8</v>
      </c>
      <c r="Q53" s="710"/>
      <c r="R53" s="47"/>
      <c r="S53" s="87">
        <f t="shared" si="28"/>
        <v>3</v>
      </c>
      <c r="T53" s="88" t="str">
        <f t="shared" si="29"/>
        <v>1er C</v>
      </c>
      <c r="U53" s="88">
        <f>W33-V33+W34-V34</f>
        <v>0</v>
      </c>
      <c r="V53" s="709">
        <f>V29+1/10000000</f>
        <v>9.9999999999999995E-8</v>
      </c>
      <c r="W53" s="710"/>
    </row>
    <row r="54" spans="1:23" hidden="1" x14ac:dyDescent="0.25">
      <c r="A54" s="700"/>
      <c r="B54" s="700"/>
      <c r="C54" s="700"/>
      <c r="D54" s="700"/>
      <c r="E54" s="700"/>
      <c r="F54" s="700"/>
      <c r="G54" s="700"/>
      <c r="H54" s="700"/>
      <c r="I54" s="700"/>
      <c r="J54" s="700"/>
      <c r="K54" s="700"/>
      <c r="L54" s="700"/>
      <c r="M54" s="700"/>
      <c r="N54" s="700"/>
      <c r="O54" s="700"/>
      <c r="P54" s="700"/>
      <c r="Q54" s="700"/>
    </row>
    <row r="55" spans="1:23" hidden="1" x14ac:dyDescent="0.25">
      <c r="A55" s="1">
        <f>IF(D14="",0,(IF(D14&gt;E14,3,IF(D14=E14,1,0))))</f>
        <v>0</v>
      </c>
      <c r="B55" s="1">
        <f>IF(E14="",0,(IF(E14&gt;D14,3,IF(E14=D14,1,0))))</f>
        <v>0</v>
      </c>
      <c r="G55" s="1">
        <f>IF(J14="",0,(IF(J14&gt;K14,3,IF(J14=K14,1,0))))</f>
        <v>0</v>
      </c>
      <c r="H55" s="1">
        <f>IF(K14="",0,(IF(K14&gt;J14,3,IF(K14=J14,1,0))))</f>
        <v>0</v>
      </c>
      <c r="M55" s="1">
        <f>IF(P14="",0,(IF(P14&gt;Q14,3,IF(P14=Q14,1,0))))</f>
        <v>0</v>
      </c>
      <c r="N55" s="1">
        <f>IF(Q14="",0,(IF(Q14&gt;P14,3,IF(Q14=P14,1,0))))</f>
        <v>0</v>
      </c>
    </row>
    <row r="56" spans="1:23" hidden="1" x14ac:dyDescent="0.25">
      <c r="A56" s="1">
        <f>IF(D15="",0,(IF(D15&gt;E15,3,IF(D15=E15,1,0))))</f>
        <v>0</v>
      </c>
      <c r="B56" s="1">
        <f>IF(E15="",0,(IF(E15&gt;D15,3,IF(E15=D15,1,0))))</f>
        <v>0</v>
      </c>
      <c r="G56" s="1">
        <f>IF(J15="",0,(IF(J15&gt;K15,3,IF(J15=K15,1,0))))</f>
        <v>0</v>
      </c>
      <c r="H56" s="1">
        <f>IF(K15="",0,(IF(K15&gt;J15,3,IF(K15=J15,1,0))))</f>
        <v>0</v>
      </c>
      <c r="M56" s="1">
        <f>IF(P15="",0,(IF(P15&gt;Q15,3,IF(P15=Q15,1,0))))</f>
        <v>0</v>
      </c>
      <c r="N56" s="1">
        <f>IF(Q15="",0,(IF(Q15&gt;P15,3,IF(Q15=P15,1,0))))</f>
        <v>0</v>
      </c>
    </row>
    <row r="57" spans="1:23" hidden="1" x14ac:dyDescent="0.25"/>
    <row r="58" spans="1:23" hidden="1" x14ac:dyDescent="0.25"/>
    <row r="59" spans="1:23" hidden="1" x14ac:dyDescent="0.25">
      <c r="A59" s="1">
        <f>IF(D18="",0,(IF(D18&gt;E18,3,IF(D18=E18,1,0))))</f>
        <v>0</v>
      </c>
      <c r="B59" s="1">
        <f>IF(E18="",0,(IF(E18&gt;D18,3,IF(E18=D18,1,0))))</f>
        <v>0</v>
      </c>
      <c r="G59" s="1">
        <f>IF(J18="",0,(IF(J18&gt;K18,3,IF(J18=K18,1,0))))</f>
        <v>0</v>
      </c>
      <c r="H59" s="1">
        <f>IF(K18="",0,(IF(K18&gt;J18,3,IF(K18=J18,1,0))))</f>
        <v>0</v>
      </c>
      <c r="M59" s="1">
        <f>IF(P18="",0,(IF(P18&gt;Q18,3,IF(P18=Q18,1,0))))</f>
        <v>0</v>
      </c>
      <c r="N59" s="1">
        <f>IF(Q18="",0,(IF(Q18&gt;P18,3,IF(Q18=P18,1,0))))</f>
        <v>0</v>
      </c>
    </row>
    <row r="60" spans="1:23" hidden="1" x14ac:dyDescent="0.25">
      <c r="A60" s="1">
        <f>IF(D19="",0,(IF(D19&gt;E19,3,IF(D19=E19,1,0))))</f>
        <v>0</v>
      </c>
      <c r="B60" s="1">
        <f>IF(E19="",0,(IF(E19&gt;D19,3,IF(E19=D19,1,0))))</f>
        <v>0</v>
      </c>
      <c r="G60" s="1">
        <f>IF(J19="",0,(IF(J19&gt;K19,3,IF(J19=K19,1,0))))</f>
        <v>0</v>
      </c>
      <c r="H60" s="1">
        <f>IF(K19="",0,(IF(K19&gt;J19,3,IF(K19=J19,1,0))))</f>
        <v>0</v>
      </c>
      <c r="M60" s="1">
        <f>IF(P19="",0,(IF(P19&gt;Q19,3,IF(P19=Q19,1,0))))</f>
        <v>0</v>
      </c>
      <c r="N60" s="1">
        <f>IF(Q19="",0,(IF(Q19&gt;P19,3,IF(Q19=P19,1,0))))</f>
        <v>0</v>
      </c>
    </row>
    <row r="61" spans="1:23" hidden="1" x14ac:dyDescent="0.25"/>
    <row r="62" spans="1:23" hidden="1" x14ac:dyDescent="0.25"/>
    <row r="63" spans="1:23" hidden="1" x14ac:dyDescent="0.25">
      <c r="A63" s="1">
        <f>IF(D22="",0,(IF(D22&gt;E22,3,IF(D22=E22,1,0))))</f>
        <v>0</v>
      </c>
      <c r="B63" s="1">
        <f>IF(E22="",0,(IF(E22&gt;D22,3,IF(E22=D22,1,0))))</f>
        <v>0</v>
      </c>
      <c r="G63" s="1">
        <f>IF(J22="",0,(IF(J22&gt;K22,3,IF(J22=K22,1,0))))</f>
        <v>0</v>
      </c>
      <c r="H63" s="1">
        <f>IF(K22="",0,(IF(K22&gt;J22,3,IF(K22=J22,1,0))))</f>
        <v>0</v>
      </c>
      <c r="M63" s="1">
        <f>IF(P22="",0,(IF(P22&gt;Q22,3,IF(P22=Q22,1,0))))</f>
        <v>0</v>
      </c>
      <c r="N63" s="1">
        <f>IF(Q22="",0,(IF(Q22&gt;P22,3,IF(Q22=P22,1,0))))</f>
        <v>0</v>
      </c>
    </row>
    <row r="64" spans="1:23" hidden="1" x14ac:dyDescent="0.25">
      <c r="A64" s="1">
        <f>IF(D23="",0,(IF(D23&gt;E23,3,IF(D23=E23,1,0))))</f>
        <v>0</v>
      </c>
      <c r="B64" s="1">
        <f>IF(E23="",0,(IF(E23&gt;D23,3,IF(E23=D23,1,0))))</f>
        <v>0</v>
      </c>
      <c r="G64" s="1">
        <f>IF(J23="",0,(IF(J23&gt;K23,3,IF(J23=K23,1,0))))</f>
        <v>0</v>
      </c>
      <c r="H64" s="1">
        <f>IF(K23="",0,(IF(K23&gt;J23,3,IF(K23=J23,1,0))))</f>
        <v>0</v>
      </c>
      <c r="M64" s="1">
        <f>IF(P23="",0,(IF(P23&gt;Q23,3,IF(P23=Q23,1,0))))</f>
        <v>0</v>
      </c>
      <c r="N64" s="1">
        <f>IF(Q23="",0,(IF(Q23&gt;P23,3,IF(Q23=P23,1,0))))</f>
        <v>0</v>
      </c>
    </row>
    <row r="65" spans="1:20" hidden="1" x14ac:dyDescent="0.25"/>
    <row r="66" spans="1:20" hidden="1" x14ac:dyDescent="0.25"/>
    <row r="67" spans="1:20" hidden="1" x14ac:dyDescent="0.25">
      <c r="A67" s="1">
        <f>IF(D32="",0,(IF(D32&gt;E32,3,IF(D32=E32,1,0))))</f>
        <v>0</v>
      </c>
      <c r="B67" s="1">
        <f>IF(E32="",0,(IF(E32&gt;D32,3,IF(E32=D32,1,0))))</f>
        <v>0</v>
      </c>
      <c r="G67" s="1">
        <f>IF(J32="",0,(IF(J32&gt;K32,3,IF(J32=K32,1,0))))</f>
        <v>0</v>
      </c>
      <c r="H67" s="1">
        <f>IF(K32="",0,(IF(K32&gt;J32,3,IF(K32=J32,1,0))))</f>
        <v>0</v>
      </c>
      <c r="M67" s="1">
        <f>IF(P32="",0,(IF(P32&gt;Q32,3,IF(P32=Q32,1,0))))</f>
        <v>0</v>
      </c>
      <c r="N67" s="1">
        <f>IF(Q32="",0,(IF(Q32&gt;P32,3,IF(Q32=P32,1,0))))</f>
        <v>0</v>
      </c>
      <c r="S67" s="1">
        <f>IF(V32="",0,(IF(V32&gt;W32,3,IF(V32=W32,1,0))))</f>
        <v>0</v>
      </c>
      <c r="T67" s="1">
        <f>IF(W32="",0,(IF(W32&gt;V32,3,IF(W32=V32,1,0))))</f>
        <v>0</v>
      </c>
    </row>
    <row r="68" spans="1:20" hidden="1" x14ac:dyDescent="0.25">
      <c r="A68" s="1">
        <f>IF(D33="",0,(IF(D33&gt;E33,3,IF(D33=E33,1,0))))</f>
        <v>0</v>
      </c>
      <c r="B68" s="1">
        <f>IF(E33="",0,(IF(E33&gt;D33,3,IF(E33=D33,1,0))))</f>
        <v>0</v>
      </c>
      <c r="G68" s="1">
        <f>IF(J33="",0,(IF(J33&gt;K33,3,IF(J33=K33,1,0))))</f>
        <v>0</v>
      </c>
      <c r="H68" s="1">
        <f>IF(K33="",0,(IF(K33&gt;J33,3,IF(K33=J33,1,0))))</f>
        <v>0</v>
      </c>
      <c r="M68" s="1">
        <f>IF(P33="",0,(IF(P33&gt;Q33,3,IF(P33=Q33,1,0))))</f>
        <v>0</v>
      </c>
      <c r="N68" s="1">
        <f>IF(Q33="",0,(IF(Q33&gt;P33,3,IF(Q33=P33,1,0))))</f>
        <v>0</v>
      </c>
      <c r="S68" s="1">
        <f>IF(V33="",0,(IF(V33&gt;W33,3,IF(V33=W33,1,0))))</f>
        <v>0</v>
      </c>
      <c r="T68" s="1">
        <f>IF(W33="",0,(IF(W33&gt;V33,3,IF(W33=V33,1,0))))</f>
        <v>0</v>
      </c>
    </row>
    <row r="69" spans="1:20" hidden="1" x14ac:dyDescent="0.25">
      <c r="A69" s="1">
        <f>IF(D34="",0,(IF(D34&gt;E34,3,IF(D34=E34,1,0))))</f>
        <v>0</v>
      </c>
      <c r="B69" s="1">
        <f>IF(E34="",0,(IF(E34&gt;D34,3,IF(E34=D34,1,0))))</f>
        <v>0</v>
      </c>
      <c r="G69" s="1">
        <f>IF(J34="",0,(IF(J34&gt;K34,3,IF(J34=K34,1,0))))</f>
        <v>0</v>
      </c>
      <c r="H69" s="1">
        <f>IF(K34="",0,(IF(K34&gt;J34,3,IF(K34=J34,1,0))))</f>
        <v>0</v>
      </c>
      <c r="M69" s="1">
        <f>IF(P34="",0,(IF(P34&gt;Q34,3,IF(P34=Q34,1,0))))</f>
        <v>0</v>
      </c>
      <c r="N69" s="1">
        <f>IF(Q34="",0,(IF(Q34&gt;P34,3,IF(Q34=P34,1,0))))</f>
        <v>0</v>
      </c>
      <c r="S69" s="1">
        <f>IF(V34="",0,(IF(V34&gt;W34,3,IF(V34=W34,1,0))))</f>
        <v>0</v>
      </c>
      <c r="T69" s="1">
        <f>IF(W34="",0,(IF(W34&gt;V34,3,IF(W34=V34,1,0))))</f>
        <v>0</v>
      </c>
    </row>
    <row r="70" spans="1:20" hidden="1" x14ac:dyDescent="0.25"/>
    <row r="71" spans="1:20" hidden="1" x14ac:dyDescent="0.25"/>
    <row r="72" spans="1:20" hidden="1" x14ac:dyDescent="0.25"/>
    <row r="73" spans="1:20" hidden="1" x14ac:dyDescent="0.25"/>
    <row r="74" spans="1:20" hidden="1" x14ac:dyDescent="0.25"/>
    <row r="75" spans="1:20" hidden="1" x14ac:dyDescent="0.25"/>
    <row r="76" spans="1:20" hidden="1" x14ac:dyDescent="0.25"/>
  </sheetData>
  <sheetProtection sheet="1" scenarios="1" selectLockedCells="1"/>
  <mergeCells count="220">
    <mergeCell ref="B44:C44"/>
    <mergeCell ref="A43:Q43"/>
    <mergeCell ref="D47:E47"/>
    <mergeCell ref="J47:K47"/>
    <mergeCell ref="P47:Q47"/>
    <mergeCell ref="A36:W36"/>
    <mergeCell ref="T37:U37"/>
    <mergeCell ref="R37:R40"/>
    <mergeCell ref="L37:L40"/>
    <mergeCell ref="A41:W41"/>
    <mergeCell ref="T40:U40"/>
    <mergeCell ref="D38:E38"/>
    <mergeCell ref="J38:K38"/>
    <mergeCell ref="V47:W47"/>
    <mergeCell ref="B39:C39"/>
    <mergeCell ref="D39:E39"/>
    <mergeCell ref="H39:I39"/>
    <mergeCell ref="J39:K39"/>
    <mergeCell ref="N39:O39"/>
    <mergeCell ref="P39:Q39"/>
    <mergeCell ref="U42:W42"/>
    <mergeCell ref="V48:W48"/>
    <mergeCell ref="V44:W44"/>
    <mergeCell ref="D45:E45"/>
    <mergeCell ref="J45:K45"/>
    <mergeCell ref="P45:Q45"/>
    <mergeCell ref="V45:W45"/>
    <mergeCell ref="D46:E46"/>
    <mergeCell ref="J46:K46"/>
    <mergeCell ref="P46:Q46"/>
    <mergeCell ref="V46:W46"/>
    <mergeCell ref="F44:F48"/>
    <mergeCell ref="H44:I44"/>
    <mergeCell ref="J44:K44"/>
    <mergeCell ref="N44:O44"/>
    <mergeCell ref="P44:Q44"/>
    <mergeCell ref="T44:U44"/>
    <mergeCell ref="D44:E44"/>
    <mergeCell ref="A25:H25"/>
    <mergeCell ref="J25:L25"/>
    <mergeCell ref="B26:C26"/>
    <mergeCell ref="D26:E26"/>
    <mergeCell ref="H26:I26"/>
    <mergeCell ref="J26:K26"/>
    <mergeCell ref="N26:O26"/>
    <mergeCell ref="T31:U31"/>
    <mergeCell ref="P38:Q38"/>
    <mergeCell ref="H38:I38"/>
    <mergeCell ref="N38:O38"/>
    <mergeCell ref="T38:U38"/>
    <mergeCell ref="B38:C38"/>
    <mergeCell ref="B37:C37"/>
    <mergeCell ref="D37:E37"/>
    <mergeCell ref="B27:C27"/>
    <mergeCell ref="D27:E27"/>
    <mergeCell ref="H27:I27"/>
    <mergeCell ref="J27:K27"/>
    <mergeCell ref="N27:O27"/>
    <mergeCell ref="T22:U22"/>
    <mergeCell ref="V22:W22"/>
    <mergeCell ref="T26:U26"/>
    <mergeCell ref="V26:W26"/>
    <mergeCell ref="Q25:W25"/>
    <mergeCell ref="P26:Q26"/>
    <mergeCell ref="T17:U17"/>
    <mergeCell ref="V17:W17"/>
    <mergeCell ref="V37:W37"/>
    <mergeCell ref="T23:U23"/>
    <mergeCell ref="V23:W23"/>
    <mergeCell ref="P27:Q27"/>
    <mergeCell ref="T29:U29"/>
    <mergeCell ref="V29:W29"/>
    <mergeCell ref="T27:U27"/>
    <mergeCell ref="V27:W27"/>
    <mergeCell ref="T28:U28"/>
    <mergeCell ref="V28:W28"/>
    <mergeCell ref="V31:W31"/>
    <mergeCell ref="T14:U14"/>
    <mergeCell ref="V14:W14"/>
    <mergeCell ref="T15:U15"/>
    <mergeCell ref="V15:W15"/>
    <mergeCell ref="T16:U16"/>
    <mergeCell ref="B31:C31"/>
    <mergeCell ref="D31:E31"/>
    <mergeCell ref="H31:I31"/>
    <mergeCell ref="J31:K31"/>
    <mergeCell ref="N31:O31"/>
    <mergeCell ref="P31:Q31"/>
    <mergeCell ref="B29:C29"/>
    <mergeCell ref="D29:E29"/>
    <mergeCell ref="H29:I29"/>
    <mergeCell ref="J29:K29"/>
    <mergeCell ref="N29:O29"/>
    <mergeCell ref="P29:Q29"/>
    <mergeCell ref="B28:C28"/>
    <mergeCell ref="D28:E28"/>
    <mergeCell ref="H28:I28"/>
    <mergeCell ref="J28:K28"/>
    <mergeCell ref="N28:O28"/>
    <mergeCell ref="P28:Q28"/>
    <mergeCell ref="V16:W16"/>
    <mergeCell ref="A54:Q54"/>
    <mergeCell ref="J52:K52"/>
    <mergeCell ref="P52:Q52"/>
    <mergeCell ref="N50:O50"/>
    <mergeCell ref="P50:Q50"/>
    <mergeCell ref="D51:E51"/>
    <mergeCell ref="J51:K51"/>
    <mergeCell ref="P51:Q51"/>
    <mergeCell ref="D52:E52"/>
    <mergeCell ref="P53:Q53"/>
    <mergeCell ref="J53:K53"/>
    <mergeCell ref="D53:E53"/>
    <mergeCell ref="B50:C50"/>
    <mergeCell ref="D50:E50"/>
    <mergeCell ref="F50:F53"/>
    <mergeCell ref="H50:I50"/>
    <mergeCell ref="J50:K50"/>
    <mergeCell ref="V53:W53"/>
    <mergeCell ref="A49:W49"/>
    <mergeCell ref="T50:U50"/>
    <mergeCell ref="V50:W50"/>
    <mergeCell ref="V51:W51"/>
    <mergeCell ref="V52:W52"/>
    <mergeCell ref="V39:W39"/>
    <mergeCell ref="V38:W38"/>
    <mergeCell ref="D40:E40"/>
    <mergeCell ref="J40:K40"/>
    <mergeCell ref="P40:Q40"/>
    <mergeCell ref="F37:F40"/>
    <mergeCell ref="H37:I37"/>
    <mergeCell ref="J37:K37"/>
    <mergeCell ref="N37:O37"/>
    <mergeCell ref="P37:Q37"/>
    <mergeCell ref="V40:W40"/>
    <mergeCell ref="T39:U39"/>
    <mergeCell ref="N40:O40"/>
    <mergeCell ref="H40:I40"/>
    <mergeCell ref="B40:C40"/>
    <mergeCell ref="D48:E48"/>
    <mergeCell ref="J48:K48"/>
    <mergeCell ref="P48:Q48"/>
    <mergeCell ref="B21:C21"/>
    <mergeCell ref="D21:E21"/>
    <mergeCell ref="H21:I21"/>
    <mergeCell ref="J21:K21"/>
    <mergeCell ref="N21:O21"/>
    <mergeCell ref="P21:Q21"/>
    <mergeCell ref="T21:U21"/>
    <mergeCell ref="V21:W21"/>
    <mergeCell ref="B17:C17"/>
    <mergeCell ref="D17:E17"/>
    <mergeCell ref="H17:I17"/>
    <mergeCell ref="J17:K17"/>
    <mergeCell ref="N17:O17"/>
    <mergeCell ref="P17:Q17"/>
    <mergeCell ref="T19:U19"/>
    <mergeCell ref="V19:W19"/>
    <mergeCell ref="T20:U20"/>
    <mergeCell ref="V20:W20"/>
    <mergeCell ref="V7:W7"/>
    <mergeCell ref="S6:W6"/>
    <mergeCell ref="I4:K4"/>
    <mergeCell ref="E5:G5"/>
    <mergeCell ref="T11:U11"/>
    <mergeCell ref="V11:W11"/>
    <mergeCell ref="B13:C13"/>
    <mergeCell ref="D13:E13"/>
    <mergeCell ref="H13:I13"/>
    <mergeCell ref="J13:K13"/>
    <mergeCell ref="N13:O13"/>
    <mergeCell ref="P13:Q13"/>
    <mergeCell ref="T13:U13"/>
    <mergeCell ref="V13:W13"/>
    <mergeCell ref="B11:C11"/>
    <mergeCell ref="D11:E11"/>
    <mergeCell ref="H11:I11"/>
    <mergeCell ref="J11:K11"/>
    <mergeCell ref="N11:O11"/>
    <mergeCell ref="P11:Q11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A1:T1"/>
    <mergeCell ref="U1:W5"/>
    <mergeCell ref="B8:C8"/>
    <mergeCell ref="D8:E8"/>
    <mergeCell ref="H8:I8"/>
    <mergeCell ref="J8:K8"/>
    <mergeCell ref="N8:O8"/>
    <mergeCell ref="P8:Q8"/>
    <mergeCell ref="T8:U8"/>
    <mergeCell ref="V8:W8"/>
    <mergeCell ref="B7:C7"/>
    <mergeCell ref="D7:E7"/>
    <mergeCell ref="H7:I7"/>
    <mergeCell ref="J7:K7"/>
    <mergeCell ref="N7:O7"/>
    <mergeCell ref="P7:Q7"/>
    <mergeCell ref="T7:U7"/>
    <mergeCell ref="J6:L6"/>
    <mergeCell ref="A6:H6"/>
    <mergeCell ref="A3:I3"/>
    <mergeCell ref="E4:G4"/>
    <mergeCell ref="L4:M4"/>
    <mergeCell ref="P6:Q6"/>
    <mergeCell ref="L5:M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3" orientation="landscape" horizontalDpi="300" verticalDpi="300" r:id="rId1"/>
  <ignoredErrors>
    <ignoredError sqref="I29 I27 I28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111"/>
  <sheetViews>
    <sheetView showGridLines="0" zoomScaleNormal="100" workbookViewId="0">
      <selection sqref="A1:T1"/>
    </sheetView>
  </sheetViews>
  <sheetFormatPr baseColWidth="10" defaultColWidth="11.5703125" defaultRowHeight="15" x14ac:dyDescent="0.25"/>
  <cols>
    <col min="1" max="1" width="5.85546875" style="1" customWidth="1"/>
    <col min="2" max="3" width="12.85546875" style="1" customWidth="1"/>
    <col min="4" max="5" width="3.42578125" style="1" customWidth="1"/>
    <col min="6" max="6" width="3.85546875" style="1" customWidth="1"/>
    <col min="7" max="7" width="5.85546875" style="1" customWidth="1"/>
    <col min="8" max="9" width="12.85546875" style="1" customWidth="1"/>
    <col min="10" max="11" width="3.42578125" style="1" customWidth="1"/>
    <col min="12" max="12" width="3.85546875" style="1" customWidth="1"/>
    <col min="13" max="13" width="5.85546875" style="1" customWidth="1"/>
    <col min="14" max="15" width="12.85546875" style="1" customWidth="1"/>
    <col min="16" max="17" width="3.42578125" style="1" customWidth="1"/>
    <col min="18" max="18" width="3.85546875" style="1" customWidth="1"/>
    <col min="19" max="19" width="5.85546875" style="1" customWidth="1"/>
    <col min="20" max="21" width="12.85546875" style="1" customWidth="1"/>
    <col min="22" max="23" width="3.42578125" style="1" customWidth="1"/>
    <col min="24" max="38" width="5.85546875" style="1" customWidth="1"/>
    <col min="39" max="16384" width="11.5703125" style="1"/>
  </cols>
  <sheetData>
    <row r="1" spans="1:23" ht="24.95" customHeight="1" x14ac:dyDescent="0.35">
      <c r="A1" s="734" t="s">
        <v>191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820"/>
      <c r="U1" s="690"/>
      <c r="V1" s="691"/>
      <c r="W1" s="692"/>
    </row>
    <row r="2" spans="1:23" ht="24.95" customHeight="1" x14ac:dyDescent="0.25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693"/>
      <c r="V2" s="694"/>
      <c r="W2" s="695"/>
    </row>
    <row r="3" spans="1:23" ht="24.95" customHeight="1" thickBot="1" x14ac:dyDescent="0.3">
      <c r="A3" s="736" t="s">
        <v>13</v>
      </c>
      <c r="B3" s="737"/>
      <c r="C3" s="737"/>
      <c r="D3" s="737"/>
      <c r="E3" s="737"/>
      <c r="F3" s="737"/>
      <c r="G3" s="737"/>
      <c r="H3" s="737"/>
      <c r="I3" s="737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693"/>
      <c r="V3" s="694"/>
      <c r="W3" s="695"/>
    </row>
    <row r="4" spans="1:23" ht="24.95" customHeight="1" thickBot="1" x14ac:dyDescent="0.3">
      <c r="A4" s="263" t="s">
        <v>52</v>
      </c>
      <c r="B4" s="311"/>
      <c r="C4" s="311"/>
      <c r="D4" s="311"/>
      <c r="E4" s="738">
        <v>0.375</v>
      </c>
      <c r="F4" s="739"/>
      <c r="G4" s="740"/>
      <c r="H4" s="279"/>
      <c r="I4" s="741" t="s">
        <v>54</v>
      </c>
      <c r="J4" s="741"/>
      <c r="K4" s="741"/>
      <c r="L4" s="742">
        <f>(3*J6)+(3*J33)</f>
        <v>3.3333333333333333E-2</v>
      </c>
      <c r="M4" s="742"/>
      <c r="N4" s="264" t="s">
        <v>33</v>
      </c>
      <c r="O4" s="319"/>
      <c r="P4" s="200"/>
      <c r="Q4" s="200"/>
      <c r="R4" s="200"/>
      <c r="S4" s="200"/>
      <c r="T4" s="201"/>
      <c r="U4" s="693"/>
      <c r="V4" s="694"/>
      <c r="W4" s="695"/>
    </row>
    <row r="5" spans="1:23" ht="24.95" customHeight="1" thickBot="1" x14ac:dyDescent="0.3">
      <c r="A5" s="317" t="s">
        <v>32</v>
      </c>
      <c r="B5" s="215"/>
      <c r="C5" s="215"/>
      <c r="D5" s="215"/>
      <c r="E5" s="810">
        <f>S50-A14+J33+"00:02"</f>
        <v>0.33333333333333215</v>
      </c>
      <c r="F5" s="810"/>
      <c r="G5" s="810"/>
      <c r="H5" s="215"/>
      <c r="I5" s="216" t="s">
        <v>79</v>
      </c>
      <c r="J5" s="216"/>
      <c r="K5" s="216"/>
      <c r="L5" s="687">
        <v>0</v>
      </c>
      <c r="M5" s="688"/>
      <c r="N5" s="215"/>
      <c r="O5" s="47"/>
      <c r="P5" s="47"/>
      <c r="Q5" s="47"/>
      <c r="R5" s="47"/>
      <c r="S5" s="47"/>
      <c r="T5" s="320"/>
      <c r="U5" s="696"/>
      <c r="V5" s="697"/>
      <c r="W5" s="698"/>
    </row>
    <row r="6" spans="1:23" ht="16.5" thickBot="1" x14ac:dyDescent="0.3">
      <c r="A6" s="701" t="s">
        <v>35</v>
      </c>
      <c r="B6" s="685"/>
      <c r="C6" s="685"/>
      <c r="D6" s="685"/>
      <c r="E6" s="685"/>
      <c r="F6" s="685"/>
      <c r="G6" s="685"/>
      <c r="H6" s="685"/>
      <c r="I6" s="79" t="s">
        <v>18</v>
      </c>
      <c r="J6" s="782">
        <v>5.5555555555555558E-3</v>
      </c>
      <c r="K6" s="782"/>
      <c r="L6" s="782"/>
      <c r="M6" s="72" t="s">
        <v>17</v>
      </c>
      <c r="N6" s="79"/>
      <c r="O6" s="686"/>
      <c r="P6" s="686"/>
      <c r="Q6" s="686"/>
      <c r="R6" s="686"/>
      <c r="S6" s="686"/>
      <c r="T6" s="686"/>
      <c r="U6" s="686"/>
      <c r="V6" s="686"/>
      <c r="W6" s="781"/>
    </row>
    <row r="7" spans="1:23" x14ac:dyDescent="0.25">
      <c r="A7" s="6"/>
      <c r="B7" s="744" t="s">
        <v>41</v>
      </c>
      <c r="C7" s="745"/>
      <c r="D7" s="744" t="s">
        <v>15</v>
      </c>
      <c r="E7" s="746"/>
      <c r="F7" s="102"/>
      <c r="G7" s="7"/>
      <c r="H7" s="747" t="s">
        <v>42</v>
      </c>
      <c r="I7" s="748"/>
      <c r="J7" s="747" t="s">
        <v>15</v>
      </c>
      <c r="K7" s="749"/>
      <c r="L7" s="76"/>
      <c r="M7" s="8"/>
      <c r="N7" s="804" t="s">
        <v>43</v>
      </c>
      <c r="O7" s="805"/>
      <c r="P7" s="804" t="s">
        <v>15</v>
      </c>
      <c r="Q7" s="806"/>
      <c r="R7" s="2"/>
      <c r="S7" s="9"/>
      <c r="T7" s="807" t="s">
        <v>55</v>
      </c>
      <c r="U7" s="808"/>
      <c r="V7" s="807" t="s">
        <v>15</v>
      </c>
      <c r="W7" s="809"/>
    </row>
    <row r="8" spans="1:23" x14ac:dyDescent="0.25">
      <c r="A8" s="10">
        <v>1</v>
      </c>
      <c r="B8" s="731" t="s">
        <v>22</v>
      </c>
      <c r="C8" s="732"/>
      <c r="D8" s="725">
        <f>A74+A78+A82+C63/1000000</f>
        <v>0</v>
      </c>
      <c r="E8" s="726"/>
      <c r="F8" s="103"/>
      <c r="G8" s="11">
        <v>1</v>
      </c>
      <c r="H8" s="727" t="s">
        <v>26</v>
      </c>
      <c r="I8" s="728"/>
      <c r="J8" s="729">
        <f>G74+G78+G82+I63/1000000</f>
        <v>0</v>
      </c>
      <c r="K8" s="730"/>
      <c r="L8" s="76"/>
      <c r="M8" s="12">
        <v>1</v>
      </c>
      <c r="N8" s="800" t="s">
        <v>37</v>
      </c>
      <c r="O8" s="801"/>
      <c r="P8" s="802">
        <f>M74+M78+M82+O63/1000000</f>
        <v>0</v>
      </c>
      <c r="Q8" s="803"/>
      <c r="R8" s="2"/>
      <c r="S8" s="13">
        <v>1</v>
      </c>
      <c r="T8" s="796" t="s">
        <v>56</v>
      </c>
      <c r="U8" s="797"/>
      <c r="V8" s="798">
        <f>S74+S78+S82+U63/1000000</f>
        <v>0</v>
      </c>
      <c r="W8" s="799"/>
    </row>
    <row r="9" spans="1:23" x14ac:dyDescent="0.25">
      <c r="A9" s="10">
        <v>2</v>
      </c>
      <c r="B9" s="731" t="s">
        <v>23</v>
      </c>
      <c r="C9" s="732"/>
      <c r="D9" s="725">
        <f>B74+A79+A83+C64/1000000</f>
        <v>0</v>
      </c>
      <c r="E9" s="726"/>
      <c r="F9" s="103"/>
      <c r="G9" s="11">
        <v>2</v>
      </c>
      <c r="H9" s="727" t="s">
        <v>27</v>
      </c>
      <c r="I9" s="728"/>
      <c r="J9" s="729">
        <f>H74+G79+G83+I64/1000000</f>
        <v>0</v>
      </c>
      <c r="K9" s="730"/>
      <c r="L9" s="76"/>
      <c r="M9" s="12">
        <v>2</v>
      </c>
      <c r="N9" s="800" t="s">
        <v>38</v>
      </c>
      <c r="O9" s="801"/>
      <c r="P9" s="802">
        <f>N74+M79+M83+O64/1000000</f>
        <v>0</v>
      </c>
      <c r="Q9" s="803"/>
      <c r="R9" s="2"/>
      <c r="S9" s="13">
        <v>2</v>
      </c>
      <c r="T9" s="796" t="s">
        <v>57</v>
      </c>
      <c r="U9" s="797"/>
      <c r="V9" s="798">
        <f>T74+S79+S83+U64/1000000</f>
        <v>0</v>
      </c>
      <c r="W9" s="799"/>
    </row>
    <row r="10" spans="1:23" x14ac:dyDescent="0.25">
      <c r="A10" s="10">
        <v>3</v>
      </c>
      <c r="B10" s="731" t="s">
        <v>24</v>
      </c>
      <c r="C10" s="732"/>
      <c r="D10" s="725">
        <f>A75+B78+B83+C65/1000000</f>
        <v>0</v>
      </c>
      <c r="E10" s="726"/>
      <c r="F10" s="103"/>
      <c r="G10" s="11">
        <v>3</v>
      </c>
      <c r="H10" s="727" t="s">
        <v>28</v>
      </c>
      <c r="I10" s="728"/>
      <c r="J10" s="729">
        <f>G75+H78+H83+I65/1000000</f>
        <v>0</v>
      </c>
      <c r="K10" s="730"/>
      <c r="L10" s="76"/>
      <c r="M10" s="12">
        <v>3</v>
      </c>
      <c r="N10" s="800" t="s">
        <v>39</v>
      </c>
      <c r="O10" s="801"/>
      <c r="P10" s="802">
        <f>M75+N78+N83+O65/1000000</f>
        <v>0</v>
      </c>
      <c r="Q10" s="803"/>
      <c r="R10" s="2"/>
      <c r="S10" s="13">
        <v>3</v>
      </c>
      <c r="T10" s="796" t="s">
        <v>58</v>
      </c>
      <c r="U10" s="797"/>
      <c r="V10" s="798">
        <f>S75+T78+T83+U65/1000000</f>
        <v>0</v>
      </c>
      <c r="W10" s="799"/>
    </row>
    <row r="11" spans="1:23" ht="15.75" thickBot="1" x14ac:dyDescent="0.3">
      <c r="A11" s="15">
        <v>4</v>
      </c>
      <c r="B11" s="717" t="s">
        <v>25</v>
      </c>
      <c r="C11" s="718"/>
      <c r="D11" s="719">
        <f>B75+B79+B82+C66/1000000</f>
        <v>0</v>
      </c>
      <c r="E11" s="720"/>
      <c r="F11" s="103"/>
      <c r="G11" s="16">
        <v>4</v>
      </c>
      <c r="H11" s="721" t="s">
        <v>29</v>
      </c>
      <c r="I11" s="722"/>
      <c r="J11" s="723">
        <f>H75+H79+H82+I66/1000000</f>
        <v>0</v>
      </c>
      <c r="K11" s="724"/>
      <c r="L11" s="76"/>
      <c r="M11" s="17">
        <v>4</v>
      </c>
      <c r="N11" s="792" t="s">
        <v>40</v>
      </c>
      <c r="O11" s="793"/>
      <c r="P11" s="794">
        <f>N75+N79+N82+O66/1000000</f>
        <v>0</v>
      </c>
      <c r="Q11" s="795"/>
      <c r="R11" s="2"/>
      <c r="S11" s="18">
        <v>4</v>
      </c>
      <c r="T11" s="788" t="s">
        <v>59</v>
      </c>
      <c r="U11" s="789"/>
      <c r="V11" s="790">
        <f>T75+T79+T82+U66/1000000</f>
        <v>0</v>
      </c>
      <c r="W11" s="791"/>
    </row>
    <row r="12" spans="1:23" ht="5.0999999999999996" customHeight="1" thickBot="1" x14ac:dyDescent="0.3">
      <c r="A12" s="19"/>
      <c r="B12" s="2"/>
      <c r="C12" s="2"/>
      <c r="D12" s="2"/>
      <c r="E12" s="2"/>
      <c r="F12" s="2"/>
      <c r="G12" s="2"/>
      <c r="H12" s="2"/>
      <c r="I12" s="22"/>
      <c r="J12" s="2"/>
      <c r="K12" s="2"/>
      <c r="L12" s="85"/>
      <c r="M12" s="2"/>
      <c r="N12" s="2"/>
      <c r="O12" s="2"/>
      <c r="P12" s="2"/>
      <c r="Q12" s="2"/>
      <c r="R12" s="2"/>
      <c r="S12" s="2"/>
      <c r="T12" s="2"/>
      <c r="U12" s="2"/>
      <c r="V12" s="2"/>
      <c r="W12" s="21"/>
    </row>
    <row r="13" spans="1:23" s="29" customFormat="1" x14ac:dyDescent="0.25">
      <c r="A13" s="24"/>
      <c r="B13" s="713" t="s">
        <v>5</v>
      </c>
      <c r="C13" s="713"/>
      <c r="D13" s="713" t="s">
        <v>16</v>
      </c>
      <c r="E13" s="714"/>
      <c r="F13" s="25"/>
      <c r="G13" s="26"/>
      <c r="H13" s="715" t="s">
        <v>5</v>
      </c>
      <c r="I13" s="715"/>
      <c r="J13" s="715" t="s">
        <v>16</v>
      </c>
      <c r="K13" s="716"/>
      <c r="L13" s="77"/>
      <c r="M13" s="27"/>
      <c r="N13" s="786" t="s">
        <v>5</v>
      </c>
      <c r="O13" s="786"/>
      <c r="P13" s="786" t="s">
        <v>16</v>
      </c>
      <c r="Q13" s="787"/>
      <c r="R13" s="25"/>
      <c r="S13" s="28"/>
      <c r="T13" s="784" t="s">
        <v>5</v>
      </c>
      <c r="U13" s="784"/>
      <c r="V13" s="784" t="s">
        <v>16</v>
      </c>
      <c r="W13" s="785"/>
    </row>
    <row r="14" spans="1:23" x14ac:dyDescent="0.25">
      <c r="A14" s="30">
        <f>E4</f>
        <v>0.375</v>
      </c>
      <c r="B14" s="31" t="str">
        <f>B8</f>
        <v>Equipe 1</v>
      </c>
      <c r="C14" s="31" t="str">
        <f>B9</f>
        <v>Equipe 2</v>
      </c>
      <c r="D14" s="53"/>
      <c r="E14" s="54"/>
      <c r="F14" s="2"/>
      <c r="G14" s="32">
        <f>A15+$J$6+"00:02"</f>
        <v>0.38888888888888884</v>
      </c>
      <c r="H14" s="33" t="str">
        <f>H8</f>
        <v>Equipe 5</v>
      </c>
      <c r="I14" s="33" t="str">
        <f>H9</f>
        <v>Equipe 6</v>
      </c>
      <c r="J14" s="57"/>
      <c r="K14" s="58"/>
      <c r="L14" s="76"/>
      <c r="M14" s="34">
        <f>G15+$J$6+"00:02"</f>
        <v>0.40277777777777768</v>
      </c>
      <c r="N14" s="35" t="str">
        <f>N8</f>
        <v>Equipe 9</v>
      </c>
      <c r="O14" s="35" t="str">
        <f>N9</f>
        <v>Equipe 10</v>
      </c>
      <c r="P14" s="61"/>
      <c r="Q14" s="62"/>
      <c r="R14" s="2"/>
      <c r="S14" s="36">
        <f>M15+$J$6+"00:02"</f>
        <v>0.41666666666666652</v>
      </c>
      <c r="T14" s="37" t="str">
        <f>T8</f>
        <v>Equipe 13</v>
      </c>
      <c r="U14" s="37" t="str">
        <f>T9</f>
        <v>Equipe 14</v>
      </c>
      <c r="V14" s="65"/>
      <c r="W14" s="66"/>
    </row>
    <row r="15" spans="1:23" ht="15.75" thickBot="1" x14ac:dyDescent="0.3">
      <c r="A15" s="38">
        <f>A14+$J$6+"00:02"</f>
        <v>0.38194444444444442</v>
      </c>
      <c r="B15" s="39" t="str">
        <f>B10</f>
        <v>Equipe 3</v>
      </c>
      <c r="C15" s="39" t="str">
        <f>B11</f>
        <v>Equipe 4</v>
      </c>
      <c r="D15" s="55"/>
      <c r="E15" s="56"/>
      <c r="F15" s="2"/>
      <c r="G15" s="40">
        <f>G14+$J$6+"00:02"</f>
        <v>0.39583333333333326</v>
      </c>
      <c r="H15" s="41" t="str">
        <f>H10</f>
        <v>Equipe 7</v>
      </c>
      <c r="I15" s="41" t="str">
        <f>H11</f>
        <v>Equipe 8</v>
      </c>
      <c r="J15" s="59"/>
      <c r="K15" s="60"/>
      <c r="L15" s="76"/>
      <c r="M15" s="42">
        <f>M14+$J$6+"00:02"</f>
        <v>0.4097222222222221</v>
      </c>
      <c r="N15" s="43" t="str">
        <f>N10</f>
        <v>Equipe 11</v>
      </c>
      <c r="O15" s="43" t="str">
        <f>N11</f>
        <v>Equipe 12</v>
      </c>
      <c r="P15" s="63"/>
      <c r="Q15" s="64"/>
      <c r="R15" s="2"/>
      <c r="S15" s="44">
        <f>S14+$J$6+"00:02"</f>
        <v>0.42361111111111094</v>
      </c>
      <c r="T15" s="45" t="str">
        <f>T10</f>
        <v>Equipe 15</v>
      </c>
      <c r="U15" s="45" t="str">
        <f>T11</f>
        <v>Equipe 16</v>
      </c>
      <c r="V15" s="67"/>
      <c r="W15" s="68"/>
    </row>
    <row r="16" spans="1:23" ht="5.0999999999999996" customHeight="1" thickBot="1" x14ac:dyDescent="0.3">
      <c r="A16" s="19"/>
      <c r="B16" s="2"/>
      <c r="C16" s="2"/>
      <c r="D16" s="46"/>
      <c r="E16" s="46"/>
      <c r="F16" s="2"/>
      <c r="G16" s="2"/>
      <c r="H16" s="2"/>
      <c r="I16" s="47"/>
      <c r="J16" s="46"/>
      <c r="K16" s="46"/>
      <c r="L16" s="85"/>
      <c r="M16" s="2"/>
      <c r="N16" s="2"/>
      <c r="O16" s="2"/>
      <c r="P16" s="46"/>
      <c r="Q16" s="46"/>
      <c r="R16" s="2"/>
      <c r="S16" s="2"/>
      <c r="T16" s="2"/>
      <c r="U16" s="2"/>
      <c r="V16" s="46"/>
      <c r="W16" s="48"/>
    </row>
    <row r="17" spans="1:23" s="29" customFormat="1" x14ac:dyDescent="0.25">
      <c r="A17" s="24"/>
      <c r="B17" s="713" t="s">
        <v>6</v>
      </c>
      <c r="C17" s="713"/>
      <c r="D17" s="713" t="s">
        <v>16</v>
      </c>
      <c r="E17" s="714"/>
      <c r="F17" s="25"/>
      <c r="G17" s="26"/>
      <c r="H17" s="715" t="s">
        <v>6</v>
      </c>
      <c r="I17" s="715"/>
      <c r="J17" s="715" t="s">
        <v>16</v>
      </c>
      <c r="K17" s="716"/>
      <c r="L17" s="77"/>
      <c r="M17" s="27"/>
      <c r="N17" s="786" t="s">
        <v>6</v>
      </c>
      <c r="O17" s="786"/>
      <c r="P17" s="786" t="s">
        <v>16</v>
      </c>
      <c r="Q17" s="787"/>
      <c r="R17" s="25"/>
      <c r="S17" s="28"/>
      <c r="T17" s="784" t="s">
        <v>6</v>
      </c>
      <c r="U17" s="784"/>
      <c r="V17" s="784" t="s">
        <v>16</v>
      </c>
      <c r="W17" s="785"/>
    </row>
    <row r="18" spans="1:23" x14ac:dyDescent="0.25">
      <c r="A18" s="30">
        <f>S15+$J$6+"00:02"</f>
        <v>0.43055555555555536</v>
      </c>
      <c r="B18" s="31" t="str">
        <f>B8</f>
        <v>Equipe 1</v>
      </c>
      <c r="C18" s="31" t="str">
        <f>B10</f>
        <v>Equipe 3</v>
      </c>
      <c r="D18" s="53"/>
      <c r="E18" s="54"/>
      <c r="F18" s="2"/>
      <c r="G18" s="32">
        <f>A19+$J$6+"00:02"</f>
        <v>0.4444444444444442</v>
      </c>
      <c r="H18" s="33" t="str">
        <f>H8</f>
        <v>Equipe 5</v>
      </c>
      <c r="I18" s="33" t="str">
        <f>H10</f>
        <v>Equipe 7</v>
      </c>
      <c r="J18" s="57"/>
      <c r="K18" s="58"/>
      <c r="L18" s="76"/>
      <c r="M18" s="34">
        <f>G19+$J$6+"00:02"</f>
        <v>0.45833333333333304</v>
      </c>
      <c r="N18" s="35" t="str">
        <f>N8</f>
        <v>Equipe 9</v>
      </c>
      <c r="O18" s="35" t="str">
        <f>N10</f>
        <v>Equipe 11</v>
      </c>
      <c r="P18" s="61"/>
      <c r="Q18" s="62"/>
      <c r="R18" s="2"/>
      <c r="S18" s="36">
        <f>M19+$J$6+"00:02"</f>
        <v>0.47222222222222188</v>
      </c>
      <c r="T18" s="37" t="str">
        <f>T8</f>
        <v>Equipe 13</v>
      </c>
      <c r="U18" s="37" t="str">
        <f>T10</f>
        <v>Equipe 15</v>
      </c>
      <c r="V18" s="65"/>
      <c r="W18" s="66"/>
    </row>
    <row r="19" spans="1:23" ht="15.75" thickBot="1" x14ac:dyDescent="0.3">
      <c r="A19" s="38">
        <f>A18+$J$6+"00:02"</f>
        <v>0.43749999999999978</v>
      </c>
      <c r="B19" s="39" t="str">
        <f>B9</f>
        <v>Equipe 2</v>
      </c>
      <c r="C19" s="39" t="str">
        <f>B11</f>
        <v>Equipe 4</v>
      </c>
      <c r="D19" s="55"/>
      <c r="E19" s="56"/>
      <c r="F19" s="2"/>
      <c r="G19" s="40">
        <f>G18+$J$6+"00:02"</f>
        <v>0.45138888888888862</v>
      </c>
      <c r="H19" s="41" t="str">
        <f>H9</f>
        <v>Equipe 6</v>
      </c>
      <c r="I19" s="41" t="str">
        <f>H11</f>
        <v>Equipe 8</v>
      </c>
      <c r="J19" s="59"/>
      <c r="K19" s="60"/>
      <c r="L19" s="76"/>
      <c r="M19" s="42">
        <f>M18+$J$6+"00:02"</f>
        <v>0.46527777777777746</v>
      </c>
      <c r="N19" s="43" t="str">
        <f>N9</f>
        <v>Equipe 10</v>
      </c>
      <c r="O19" s="43" t="str">
        <f>N11</f>
        <v>Equipe 12</v>
      </c>
      <c r="P19" s="63"/>
      <c r="Q19" s="64"/>
      <c r="R19" s="2"/>
      <c r="S19" s="44">
        <f>S18+$J$6+"00:02"</f>
        <v>0.4791666666666663</v>
      </c>
      <c r="T19" s="45" t="str">
        <f>T9</f>
        <v>Equipe 14</v>
      </c>
      <c r="U19" s="45" t="str">
        <f>T11</f>
        <v>Equipe 16</v>
      </c>
      <c r="V19" s="67"/>
      <c r="W19" s="68"/>
    </row>
    <row r="20" spans="1:23" ht="5.0999999999999996" customHeight="1" thickBot="1" x14ac:dyDescent="0.3">
      <c r="A20" s="19"/>
      <c r="B20" s="2"/>
      <c r="C20" s="2"/>
      <c r="D20" s="46"/>
      <c r="E20" s="46"/>
      <c r="F20" s="2"/>
      <c r="G20" s="2"/>
      <c r="H20" s="2"/>
      <c r="I20" s="47"/>
      <c r="J20" s="46"/>
      <c r="K20" s="46"/>
      <c r="L20" s="85"/>
      <c r="M20" s="2"/>
      <c r="N20" s="2"/>
      <c r="O20" s="2"/>
      <c r="P20" s="46"/>
      <c r="Q20" s="46"/>
      <c r="R20" s="2"/>
      <c r="S20" s="2"/>
      <c r="T20" s="2"/>
      <c r="U20" s="2"/>
      <c r="V20" s="46"/>
      <c r="W20" s="48"/>
    </row>
    <row r="21" spans="1:23" s="29" customFormat="1" x14ac:dyDescent="0.25">
      <c r="A21" s="24"/>
      <c r="B21" s="713" t="s">
        <v>7</v>
      </c>
      <c r="C21" s="713"/>
      <c r="D21" s="713" t="s">
        <v>16</v>
      </c>
      <c r="E21" s="714"/>
      <c r="F21" s="25"/>
      <c r="G21" s="26"/>
      <c r="H21" s="715" t="s">
        <v>7</v>
      </c>
      <c r="I21" s="715"/>
      <c r="J21" s="715" t="s">
        <v>16</v>
      </c>
      <c r="K21" s="716"/>
      <c r="L21" s="77"/>
      <c r="M21" s="27"/>
      <c r="N21" s="786" t="s">
        <v>7</v>
      </c>
      <c r="O21" s="786"/>
      <c r="P21" s="786" t="s">
        <v>16</v>
      </c>
      <c r="Q21" s="787"/>
      <c r="R21" s="25"/>
      <c r="S21" s="28"/>
      <c r="T21" s="784" t="s">
        <v>7</v>
      </c>
      <c r="U21" s="784"/>
      <c r="V21" s="784" t="s">
        <v>16</v>
      </c>
      <c r="W21" s="785"/>
    </row>
    <row r="22" spans="1:23" x14ac:dyDescent="0.25">
      <c r="A22" s="30">
        <f>S19+$J$6+"00:02"</f>
        <v>0.48611111111111072</v>
      </c>
      <c r="B22" s="31" t="str">
        <f>B8</f>
        <v>Equipe 1</v>
      </c>
      <c r="C22" s="31" t="str">
        <f>B11</f>
        <v>Equipe 4</v>
      </c>
      <c r="D22" s="53"/>
      <c r="E22" s="54"/>
      <c r="F22" s="2"/>
      <c r="G22" s="32">
        <f>A23+$J$6+"00:02"</f>
        <v>0.49999999999999956</v>
      </c>
      <c r="H22" s="33" t="str">
        <f>H8</f>
        <v>Equipe 5</v>
      </c>
      <c r="I22" s="33" t="str">
        <f>H11</f>
        <v>Equipe 8</v>
      </c>
      <c r="J22" s="57"/>
      <c r="K22" s="58"/>
      <c r="L22" s="76"/>
      <c r="M22" s="34">
        <f>G23+$J$6+"00:02"</f>
        <v>0.5138888888888884</v>
      </c>
      <c r="N22" s="35" t="str">
        <f>N8</f>
        <v>Equipe 9</v>
      </c>
      <c r="O22" s="35" t="str">
        <f>N11</f>
        <v>Equipe 12</v>
      </c>
      <c r="P22" s="61"/>
      <c r="Q22" s="62"/>
      <c r="R22" s="2"/>
      <c r="S22" s="36">
        <f>M23+$J$6+"00:02"</f>
        <v>0.52777777777777724</v>
      </c>
      <c r="T22" s="37" t="str">
        <f>T8</f>
        <v>Equipe 13</v>
      </c>
      <c r="U22" s="37" t="str">
        <f>T11</f>
        <v>Equipe 16</v>
      </c>
      <c r="V22" s="65"/>
      <c r="W22" s="66"/>
    </row>
    <row r="23" spans="1:23" ht="15.75" thickBot="1" x14ac:dyDescent="0.3">
      <c r="A23" s="38">
        <f>A22+$J$6+"00:02"</f>
        <v>0.49305555555555514</v>
      </c>
      <c r="B23" s="39" t="str">
        <f>B9</f>
        <v>Equipe 2</v>
      </c>
      <c r="C23" s="39" t="str">
        <f>B10</f>
        <v>Equipe 3</v>
      </c>
      <c r="D23" s="55"/>
      <c r="E23" s="56"/>
      <c r="F23" s="47"/>
      <c r="G23" s="40">
        <f>G22+$J$6+"00:02"</f>
        <v>0.50694444444444398</v>
      </c>
      <c r="H23" s="41" t="str">
        <f>H9</f>
        <v>Equipe 6</v>
      </c>
      <c r="I23" s="41" t="str">
        <f>H10</f>
        <v>Equipe 7</v>
      </c>
      <c r="J23" s="59"/>
      <c r="K23" s="60"/>
      <c r="L23" s="78"/>
      <c r="M23" s="42">
        <f>M22+$J$6+"00:02"</f>
        <v>0.52083333333333282</v>
      </c>
      <c r="N23" s="43" t="str">
        <f>N9</f>
        <v>Equipe 10</v>
      </c>
      <c r="O23" s="43" t="str">
        <f>N10</f>
        <v>Equipe 11</v>
      </c>
      <c r="P23" s="63"/>
      <c r="Q23" s="64"/>
      <c r="R23" s="47"/>
      <c r="S23" s="44">
        <f>S22+$J$6+"00:02"</f>
        <v>0.53472222222222165</v>
      </c>
      <c r="T23" s="45" t="str">
        <f>T9</f>
        <v>Equipe 14</v>
      </c>
      <c r="U23" s="45" t="str">
        <f>T10</f>
        <v>Equipe 15</v>
      </c>
      <c r="V23" s="67"/>
      <c r="W23" s="68"/>
    </row>
    <row r="24" spans="1:23" ht="5.0999999999999996" customHeight="1" thickBot="1" x14ac:dyDescent="0.3">
      <c r="A24" s="118"/>
      <c r="B24" s="119"/>
      <c r="C24" s="119"/>
      <c r="D24" s="173"/>
      <c r="E24" s="173"/>
      <c r="F24" s="89"/>
      <c r="G24" s="120"/>
      <c r="H24" s="119"/>
      <c r="I24" s="119"/>
      <c r="J24" s="173"/>
      <c r="K24" s="173"/>
      <c r="L24" s="89"/>
      <c r="M24" s="120"/>
      <c r="N24" s="119"/>
      <c r="O24" s="119"/>
      <c r="P24" s="173"/>
      <c r="Q24" s="173"/>
      <c r="R24" s="89"/>
      <c r="S24" s="93"/>
      <c r="T24" s="115"/>
      <c r="U24" s="115"/>
      <c r="V24" s="116"/>
      <c r="W24" s="117"/>
    </row>
    <row r="25" spans="1:23" ht="16.5" thickBot="1" x14ac:dyDescent="0.3">
      <c r="A25" s="783" t="s">
        <v>60</v>
      </c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3"/>
    </row>
    <row r="26" spans="1:23" x14ac:dyDescent="0.25">
      <c r="A26" s="81" t="s">
        <v>21</v>
      </c>
      <c r="B26" s="711" t="s">
        <v>41</v>
      </c>
      <c r="C26" s="711"/>
      <c r="D26" s="711" t="s">
        <v>15</v>
      </c>
      <c r="E26" s="712"/>
      <c r="F26" s="122"/>
      <c r="G26" s="81" t="s">
        <v>21</v>
      </c>
      <c r="H26" s="711" t="s">
        <v>42</v>
      </c>
      <c r="I26" s="711"/>
      <c r="J26" s="711" t="s">
        <v>15</v>
      </c>
      <c r="K26" s="712"/>
      <c r="L26" s="75"/>
      <c r="M26" s="81" t="s">
        <v>21</v>
      </c>
      <c r="N26" s="711" t="s">
        <v>43</v>
      </c>
      <c r="O26" s="711"/>
      <c r="P26" s="711" t="s">
        <v>15</v>
      </c>
      <c r="Q26" s="712"/>
      <c r="R26" s="122"/>
      <c r="S26" s="81" t="s">
        <v>21</v>
      </c>
      <c r="T26" s="711" t="s">
        <v>55</v>
      </c>
      <c r="U26" s="711"/>
      <c r="V26" s="711" t="s">
        <v>15</v>
      </c>
      <c r="W26" s="712"/>
    </row>
    <row r="27" spans="1:23" x14ac:dyDescent="0.25">
      <c r="A27" s="49">
        <v>1</v>
      </c>
      <c r="B27" s="680" t="str">
        <f>VLOOKUP($A27,$A$63:$D$66,2,FALSE)</f>
        <v>Equipe 1</v>
      </c>
      <c r="C27" s="680"/>
      <c r="D27" s="683">
        <f>VLOOKUP($A27,$A$63:$D$66,4,FALSE)</f>
        <v>3.9999999999999998E-7</v>
      </c>
      <c r="E27" s="684"/>
      <c r="F27" s="105"/>
      <c r="G27" s="49">
        <v>1</v>
      </c>
      <c r="H27" s="680" t="str">
        <f>VLOOKUP($G27,$G$63:$J$66,2,FALSE)</f>
        <v>Equipe 5</v>
      </c>
      <c r="I27" s="680"/>
      <c r="J27" s="681">
        <f>VLOOKUP($G27,$G$63:$J$66,4,FALSE)</f>
        <v>3.9999999999999998E-7</v>
      </c>
      <c r="K27" s="682"/>
      <c r="L27" s="76"/>
      <c r="M27" s="49">
        <v>1</v>
      </c>
      <c r="N27" s="680" t="str">
        <f>VLOOKUP($M27,$M$63:$P$66,2,FALSE)</f>
        <v>Equipe 9</v>
      </c>
      <c r="O27" s="680"/>
      <c r="P27" s="681">
        <f>VLOOKUP($M27,$M$63:$P$66,4,FALSE)</f>
        <v>3.9999999999999998E-7</v>
      </c>
      <c r="Q27" s="682"/>
      <c r="R27" s="105"/>
      <c r="S27" s="49">
        <v>1</v>
      </c>
      <c r="T27" s="680" t="str">
        <f>VLOOKUP($S27,$S$63:$V$66,2,FALSE)</f>
        <v>Equipe 13</v>
      </c>
      <c r="U27" s="680"/>
      <c r="V27" s="681">
        <f>VLOOKUP($S27,$S$63:$V$66,4,FALSE)</f>
        <v>3.9999999999999998E-7</v>
      </c>
      <c r="W27" s="682"/>
    </row>
    <row r="28" spans="1:23" x14ac:dyDescent="0.25">
      <c r="A28" s="49">
        <v>2</v>
      </c>
      <c r="B28" s="680" t="str">
        <f>VLOOKUP($A28,$A$63:$D$66,2,FALSE)</f>
        <v>Equipe 2</v>
      </c>
      <c r="C28" s="680"/>
      <c r="D28" s="683">
        <f>VLOOKUP($A28,$A$63:$D$66,4,FALSE)</f>
        <v>2.9999999999999999E-7</v>
      </c>
      <c r="E28" s="684"/>
      <c r="F28" s="105"/>
      <c r="G28" s="49">
        <v>2</v>
      </c>
      <c r="H28" s="680" t="str">
        <f>VLOOKUP($G28,$G$63:$J$66,2,FALSE)</f>
        <v>Equipe 6</v>
      </c>
      <c r="I28" s="680"/>
      <c r="J28" s="681">
        <f>VLOOKUP($G28,$G$63:$J$66,4,FALSE)</f>
        <v>2.9999999999999999E-7</v>
      </c>
      <c r="K28" s="682"/>
      <c r="L28" s="76"/>
      <c r="M28" s="49">
        <v>2</v>
      </c>
      <c r="N28" s="680" t="str">
        <f>VLOOKUP($M28,$M$63:$P$66,2,FALSE)</f>
        <v>Equipe 10</v>
      </c>
      <c r="O28" s="680"/>
      <c r="P28" s="681">
        <f>VLOOKUP($M28,$M$63:$P$66,4,FALSE)</f>
        <v>2.9999999999999999E-7</v>
      </c>
      <c r="Q28" s="682"/>
      <c r="R28" s="105"/>
      <c r="S28" s="49">
        <v>2</v>
      </c>
      <c r="T28" s="680" t="str">
        <f>VLOOKUP($S28,$S$63:$V$66,2,FALSE)</f>
        <v>Equipe 14</v>
      </c>
      <c r="U28" s="680"/>
      <c r="V28" s="681">
        <f>VLOOKUP($S28,$S$63:$V$66,4,FALSE)</f>
        <v>2.9999999999999999E-7</v>
      </c>
      <c r="W28" s="682"/>
    </row>
    <row r="29" spans="1:23" x14ac:dyDescent="0.25">
      <c r="A29" s="49">
        <v>3</v>
      </c>
      <c r="B29" s="680" t="str">
        <f>VLOOKUP($A29,$A$63:$D$66,2,FALSE)</f>
        <v>Equipe 3</v>
      </c>
      <c r="C29" s="680"/>
      <c r="D29" s="683">
        <f>VLOOKUP($A29,$A$63:$D$66,4,FALSE)</f>
        <v>1.9999999999999999E-7</v>
      </c>
      <c r="E29" s="684"/>
      <c r="F29" s="105"/>
      <c r="G29" s="49">
        <v>3</v>
      </c>
      <c r="H29" s="680" t="str">
        <f>VLOOKUP($G29,$G$63:$J$66,2,FALSE)</f>
        <v>Equipe 7</v>
      </c>
      <c r="I29" s="680"/>
      <c r="J29" s="681">
        <f>VLOOKUP($G29,$G$63:$J$66,4,FALSE)</f>
        <v>1.9999999999999999E-7</v>
      </c>
      <c r="K29" s="682"/>
      <c r="L29" s="76"/>
      <c r="M29" s="49">
        <v>3</v>
      </c>
      <c r="N29" s="680" t="str">
        <f>VLOOKUP($M29,$M$63:$P$66,2,FALSE)</f>
        <v>Equipe 11</v>
      </c>
      <c r="O29" s="680"/>
      <c r="P29" s="681">
        <f>VLOOKUP($M29,$M$63:$P$66,4,FALSE)</f>
        <v>1.9999999999999999E-7</v>
      </c>
      <c r="Q29" s="682"/>
      <c r="R29" s="105"/>
      <c r="S29" s="49">
        <v>3</v>
      </c>
      <c r="T29" s="680" t="str">
        <f>VLOOKUP($S29,$S$63:$V$66,2,FALSE)</f>
        <v>Equipe 15</v>
      </c>
      <c r="U29" s="680"/>
      <c r="V29" s="681">
        <f>VLOOKUP($S29,$S$63:$V$66,4,FALSE)</f>
        <v>1.9999999999999999E-7</v>
      </c>
      <c r="W29" s="682"/>
    </row>
    <row r="30" spans="1:23" ht="15.75" thickBot="1" x14ac:dyDescent="0.3">
      <c r="A30" s="50">
        <v>4</v>
      </c>
      <c r="B30" s="706" t="str">
        <f>VLOOKUP($A30,$A$63:$D$66,2,FALSE)</f>
        <v>Equipe 4</v>
      </c>
      <c r="C30" s="706"/>
      <c r="D30" s="707">
        <f>VLOOKUP($A30,$A$63:$D$66,4,FALSE)</f>
        <v>9.9999999999999995E-8</v>
      </c>
      <c r="E30" s="708"/>
      <c r="F30" s="123"/>
      <c r="G30" s="50">
        <v>4</v>
      </c>
      <c r="H30" s="706" t="str">
        <f>VLOOKUP($G30,$G$63:$J$66,2,FALSE)</f>
        <v>Equipe 8</v>
      </c>
      <c r="I30" s="706"/>
      <c r="J30" s="709">
        <f>VLOOKUP($G30,$G$63:$J$66,4,FALSE)</f>
        <v>9.9999999999999995E-8</v>
      </c>
      <c r="K30" s="710"/>
      <c r="L30" s="78"/>
      <c r="M30" s="50">
        <v>4</v>
      </c>
      <c r="N30" s="706" t="str">
        <f>VLOOKUP($M30,$M$63:$P$66,2,FALSE)</f>
        <v>Equipe 12</v>
      </c>
      <c r="O30" s="706"/>
      <c r="P30" s="709">
        <f>VLOOKUP($M30,$M$63:$P$66,4,FALSE)</f>
        <v>9.9999999999999995E-8</v>
      </c>
      <c r="Q30" s="710"/>
      <c r="R30" s="123"/>
      <c r="S30" s="50">
        <v>4</v>
      </c>
      <c r="T30" s="706" t="str">
        <f>VLOOKUP($S30,$S$63:$V$66,2,FALSE)</f>
        <v>Equipe 16</v>
      </c>
      <c r="U30" s="706"/>
      <c r="V30" s="709">
        <f>VLOOKUP($S30,$S$63:$V$66,4,FALSE)</f>
        <v>9.9999999999999995E-8</v>
      </c>
      <c r="W30" s="710"/>
    </row>
    <row r="31" spans="1:23" ht="15.75" thickBot="1" x14ac:dyDescent="0.3">
      <c r="A31" s="703" t="s">
        <v>34</v>
      </c>
      <c r="B31" s="704"/>
      <c r="C31" s="704"/>
      <c r="D31" s="704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4"/>
      <c r="V31" s="704"/>
      <c r="W31" s="705"/>
    </row>
    <row r="32" spans="1:23" ht="24.95" customHeight="1" thickBot="1" x14ac:dyDescent="0.3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</row>
    <row r="33" spans="1:24" ht="16.350000000000001" customHeight="1" thickBot="1" x14ac:dyDescent="0.3">
      <c r="A33" s="701" t="s">
        <v>61</v>
      </c>
      <c r="B33" s="685"/>
      <c r="C33" s="685"/>
      <c r="D33" s="685"/>
      <c r="E33" s="685"/>
      <c r="F33" s="685"/>
      <c r="G33" s="685"/>
      <c r="H33" s="685"/>
      <c r="I33" s="79" t="s">
        <v>18</v>
      </c>
      <c r="J33" s="782">
        <v>5.5555555555555558E-3</v>
      </c>
      <c r="K33" s="782"/>
      <c r="L33" s="782"/>
      <c r="M33" s="72" t="s">
        <v>17</v>
      </c>
      <c r="N33" s="79"/>
      <c r="O33" s="686"/>
      <c r="P33" s="686"/>
      <c r="Q33" s="686"/>
      <c r="R33" s="686"/>
      <c r="S33" s="686"/>
      <c r="T33" s="686"/>
      <c r="U33" s="686"/>
      <c r="V33" s="686"/>
      <c r="W33" s="781"/>
      <c r="X33" s="74"/>
    </row>
    <row r="34" spans="1:24" ht="14.45" customHeight="1" x14ac:dyDescent="0.25">
      <c r="A34" s="125"/>
      <c r="B34" s="912" t="s">
        <v>48</v>
      </c>
      <c r="C34" s="935"/>
      <c r="D34" s="912" t="s">
        <v>15</v>
      </c>
      <c r="E34" s="914"/>
      <c r="F34" s="102"/>
      <c r="G34" s="124"/>
      <c r="H34" s="915" t="s">
        <v>44</v>
      </c>
      <c r="I34" s="936"/>
      <c r="J34" s="915" t="s">
        <v>15</v>
      </c>
      <c r="K34" s="917"/>
      <c r="L34" s="76"/>
      <c r="M34" s="97"/>
      <c r="N34" s="852" t="s">
        <v>45</v>
      </c>
      <c r="O34" s="937"/>
      <c r="P34" s="852" t="s">
        <v>15</v>
      </c>
      <c r="Q34" s="853"/>
      <c r="R34" s="2"/>
      <c r="S34" s="83"/>
      <c r="T34" s="850" t="s">
        <v>46</v>
      </c>
      <c r="U34" s="938"/>
      <c r="V34" s="850" t="s">
        <v>15</v>
      </c>
      <c r="W34" s="851"/>
    </row>
    <row r="35" spans="1:24" ht="14.45" customHeight="1" x14ac:dyDescent="0.25">
      <c r="A35" s="10">
        <v>1</v>
      </c>
      <c r="B35" s="905" t="str">
        <f>IF($D$14="","4eme A",B30)</f>
        <v>4eme A</v>
      </c>
      <c r="C35" s="933"/>
      <c r="D35" s="725">
        <f>A100+A104+A108+C89/1000000</f>
        <v>0</v>
      </c>
      <c r="E35" s="726"/>
      <c r="F35" s="103"/>
      <c r="G35" s="11">
        <v>1</v>
      </c>
      <c r="H35" s="907" t="str">
        <f>IF($D$14="","3eme A",B29)</f>
        <v>3eme A</v>
      </c>
      <c r="I35" s="934"/>
      <c r="J35" s="729">
        <f>G100+G104+G108+I89/1000000</f>
        <v>0</v>
      </c>
      <c r="K35" s="730"/>
      <c r="L35" s="76"/>
      <c r="M35" s="12">
        <v>1</v>
      </c>
      <c r="N35" s="844" t="str">
        <f>IF($D$14="","2eme A",B28)</f>
        <v>2eme A</v>
      </c>
      <c r="O35" s="845"/>
      <c r="P35" s="802">
        <f>M100+M104+M108+O89/1000000</f>
        <v>0</v>
      </c>
      <c r="Q35" s="803"/>
      <c r="R35" s="2"/>
      <c r="S35" s="13">
        <v>1</v>
      </c>
      <c r="T35" s="835" t="str">
        <f>IF($D$14="","1er A",B27)</f>
        <v>1er A</v>
      </c>
      <c r="U35" s="836"/>
      <c r="V35" s="798">
        <f>S100+S104+S108+U89/1000000</f>
        <v>0</v>
      </c>
      <c r="W35" s="799"/>
    </row>
    <row r="36" spans="1:24" ht="14.45" customHeight="1" x14ac:dyDescent="0.25">
      <c r="A36" s="10">
        <v>2</v>
      </c>
      <c r="B36" s="905" t="str">
        <f>IF($D$14="","4eme B",H30)</f>
        <v>4eme B</v>
      </c>
      <c r="C36" s="933"/>
      <c r="D36" s="725">
        <f>B100+A105+A109+C90/1000000</f>
        <v>0</v>
      </c>
      <c r="E36" s="726"/>
      <c r="F36" s="103"/>
      <c r="G36" s="11">
        <v>2</v>
      </c>
      <c r="H36" s="907" t="str">
        <f>IF($D$14="","3eme B",H29)</f>
        <v>3eme B</v>
      </c>
      <c r="I36" s="934"/>
      <c r="J36" s="729">
        <f>H100+G105+G109+I90/1000000</f>
        <v>0</v>
      </c>
      <c r="K36" s="730"/>
      <c r="L36" s="76"/>
      <c r="M36" s="12">
        <v>2</v>
      </c>
      <c r="N36" s="844" t="str">
        <f>IF($D$14="","2eme B",H28)</f>
        <v>2eme B</v>
      </c>
      <c r="O36" s="845"/>
      <c r="P36" s="802">
        <f>N100+M105+M109+O90/1000000</f>
        <v>0</v>
      </c>
      <c r="Q36" s="803"/>
      <c r="R36" s="2"/>
      <c r="S36" s="13">
        <v>2</v>
      </c>
      <c r="T36" s="835" t="str">
        <f>IF($D$14="","1er B",H27)</f>
        <v>1er B</v>
      </c>
      <c r="U36" s="836"/>
      <c r="V36" s="798">
        <f>T100+S105+S109+U90/1000000</f>
        <v>0</v>
      </c>
      <c r="W36" s="799"/>
    </row>
    <row r="37" spans="1:24" ht="14.45" customHeight="1" x14ac:dyDescent="0.25">
      <c r="A37" s="10">
        <v>3</v>
      </c>
      <c r="B37" s="905" t="str">
        <f>IF($D$14="","4eme C",N30)</f>
        <v>4eme C</v>
      </c>
      <c r="C37" s="933"/>
      <c r="D37" s="725">
        <f>A101+B104+B109+C91/1000000</f>
        <v>0</v>
      </c>
      <c r="E37" s="726"/>
      <c r="F37" s="103"/>
      <c r="G37" s="11">
        <v>3</v>
      </c>
      <c r="H37" s="907" t="str">
        <f>IF($D$14="","3eme C",N29)</f>
        <v>3eme C</v>
      </c>
      <c r="I37" s="934"/>
      <c r="J37" s="729">
        <f>G101+H104+H109+I91/1000000</f>
        <v>0</v>
      </c>
      <c r="K37" s="730"/>
      <c r="L37" s="76"/>
      <c r="M37" s="12">
        <v>3</v>
      </c>
      <c r="N37" s="844" t="str">
        <f>IF($D$14="","2eme C",N28)</f>
        <v>2eme C</v>
      </c>
      <c r="O37" s="845"/>
      <c r="P37" s="802">
        <f>M101+N104+N109+O91/1000000</f>
        <v>0</v>
      </c>
      <c r="Q37" s="803"/>
      <c r="R37" s="2"/>
      <c r="S37" s="13">
        <v>3</v>
      </c>
      <c r="T37" s="835" t="str">
        <f>IF($D$14="","1er C",N27)</f>
        <v>1er C</v>
      </c>
      <c r="U37" s="836"/>
      <c r="V37" s="798">
        <f>S101+T104+T109+U91/1000000</f>
        <v>0</v>
      </c>
      <c r="W37" s="799"/>
    </row>
    <row r="38" spans="1:24" ht="14.45" customHeight="1" thickBot="1" x14ac:dyDescent="0.3">
      <c r="A38" s="15">
        <v>4</v>
      </c>
      <c r="B38" s="901" t="str">
        <f>IF($D$14="","4eme D",T30)</f>
        <v>4eme D</v>
      </c>
      <c r="C38" s="939"/>
      <c r="D38" s="719">
        <f>B101+B105+B108+C92/1000000</f>
        <v>0</v>
      </c>
      <c r="E38" s="720"/>
      <c r="F38" s="103"/>
      <c r="G38" s="16">
        <v>4</v>
      </c>
      <c r="H38" s="903" t="str">
        <f>IF($D$14="","3eme D",T29)</f>
        <v>3eme D</v>
      </c>
      <c r="I38" s="940"/>
      <c r="J38" s="723">
        <f>H101+H105+H108+I92/1000000</f>
        <v>0</v>
      </c>
      <c r="K38" s="724"/>
      <c r="L38" s="76"/>
      <c r="M38" s="17">
        <v>4</v>
      </c>
      <c r="N38" s="846" t="str">
        <f>IF($D$14="","2eme D",T28)</f>
        <v>2eme D</v>
      </c>
      <c r="O38" s="847"/>
      <c r="P38" s="794">
        <f>N101+N105+N108+O92/1000000</f>
        <v>0</v>
      </c>
      <c r="Q38" s="795"/>
      <c r="R38" s="2"/>
      <c r="S38" s="18">
        <v>4</v>
      </c>
      <c r="T38" s="837" t="str">
        <f>IF($D$14="","1er D",T27)</f>
        <v>1er D</v>
      </c>
      <c r="U38" s="838"/>
      <c r="V38" s="790">
        <f>T101+T105+T108+U92/1000000</f>
        <v>0</v>
      </c>
      <c r="W38" s="791"/>
    </row>
    <row r="39" spans="1:24" s="29" customFormat="1" ht="5.0999999999999996" customHeight="1" thickBot="1" x14ac:dyDescent="0.3">
      <c r="A39" s="19"/>
      <c r="B39" s="2"/>
      <c r="C39" s="2"/>
      <c r="D39" s="2"/>
      <c r="E39" s="2"/>
      <c r="F39" s="2"/>
      <c r="G39" s="2"/>
      <c r="H39" s="2"/>
      <c r="I39" s="2"/>
      <c r="J39" s="2"/>
      <c r="K39" s="2"/>
      <c r="L39" s="85"/>
      <c r="M39" s="2"/>
      <c r="N39" s="2"/>
      <c r="O39" s="2"/>
      <c r="P39" s="2"/>
      <c r="Q39" s="2"/>
      <c r="R39" s="2"/>
      <c r="S39" s="2"/>
      <c r="T39" s="2"/>
      <c r="U39" s="2"/>
      <c r="V39" s="2"/>
      <c r="W39" s="21"/>
    </row>
    <row r="40" spans="1:24" ht="14.45" customHeight="1" x14ac:dyDescent="0.25">
      <c r="A40" s="24"/>
      <c r="B40" s="713" t="s">
        <v>10</v>
      </c>
      <c r="C40" s="713"/>
      <c r="D40" s="713" t="s">
        <v>16</v>
      </c>
      <c r="E40" s="714"/>
      <c r="F40" s="25"/>
      <c r="G40" s="26"/>
      <c r="H40" s="715" t="s">
        <v>10</v>
      </c>
      <c r="I40" s="715"/>
      <c r="J40" s="715" t="s">
        <v>16</v>
      </c>
      <c r="K40" s="716"/>
      <c r="L40" s="77"/>
      <c r="M40" s="27"/>
      <c r="N40" s="786" t="s">
        <v>10</v>
      </c>
      <c r="O40" s="786"/>
      <c r="P40" s="786" t="s">
        <v>16</v>
      </c>
      <c r="Q40" s="787"/>
      <c r="R40" s="25"/>
      <c r="S40" s="28"/>
      <c r="T40" s="784" t="s">
        <v>10</v>
      </c>
      <c r="U40" s="784"/>
      <c r="V40" s="784" t="s">
        <v>16</v>
      </c>
      <c r="W40" s="785"/>
    </row>
    <row r="41" spans="1:24" ht="14.45" customHeight="1" x14ac:dyDescent="0.25">
      <c r="A41" s="30">
        <f>S23+J6+"00:02"+L5</f>
        <v>0.54166666666666607</v>
      </c>
      <c r="B41" s="31" t="str">
        <f>B35</f>
        <v>4eme A</v>
      </c>
      <c r="C41" s="31" t="str">
        <f>B36</f>
        <v>4eme B</v>
      </c>
      <c r="D41" s="53"/>
      <c r="E41" s="54"/>
      <c r="F41" s="2"/>
      <c r="G41" s="32">
        <f>A42+$J$33+"00:02"</f>
        <v>0.55555555555555491</v>
      </c>
      <c r="H41" s="33" t="str">
        <f>H35</f>
        <v>3eme A</v>
      </c>
      <c r="I41" s="33" t="str">
        <f>H36</f>
        <v>3eme B</v>
      </c>
      <c r="J41" s="57"/>
      <c r="K41" s="58"/>
      <c r="L41" s="76"/>
      <c r="M41" s="34">
        <f>G42+$J$33+"00:02"</f>
        <v>0.56944444444444375</v>
      </c>
      <c r="N41" s="35" t="str">
        <f>N35</f>
        <v>2eme A</v>
      </c>
      <c r="O41" s="35" t="str">
        <f>N36</f>
        <v>2eme B</v>
      </c>
      <c r="P41" s="61"/>
      <c r="Q41" s="62"/>
      <c r="R41" s="2"/>
      <c r="S41" s="36">
        <f>M42+$J$33+"00:02"</f>
        <v>0.58333333333333259</v>
      </c>
      <c r="T41" s="37" t="str">
        <f>T35</f>
        <v>1er A</v>
      </c>
      <c r="U41" s="37" t="str">
        <f>T36</f>
        <v>1er B</v>
      </c>
      <c r="V41" s="65"/>
      <c r="W41" s="66"/>
    </row>
    <row r="42" spans="1:24" ht="14.45" customHeight="1" thickBot="1" x14ac:dyDescent="0.3">
      <c r="A42" s="38">
        <f>A41+$J$33+"00:02"</f>
        <v>0.54861111111111049</v>
      </c>
      <c r="B42" s="39" t="str">
        <f>B37</f>
        <v>4eme C</v>
      </c>
      <c r="C42" s="39" t="str">
        <f>B38</f>
        <v>4eme D</v>
      </c>
      <c r="D42" s="55"/>
      <c r="E42" s="56"/>
      <c r="F42" s="2"/>
      <c r="G42" s="40">
        <f>G41+$J$33+"00:02"</f>
        <v>0.56249999999999933</v>
      </c>
      <c r="H42" s="41" t="str">
        <f>H37</f>
        <v>3eme C</v>
      </c>
      <c r="I42" s="41" t="str">
        <f>H38</f>
        <v>3eme D</v>
      </c>
      <c r="J42" s="59"/>
      <c r="K42" s="60"/>
      <c r="L42" s="76"/>
      <c r="M42" s="42">
        <f>M41+$J$33+"00:02"</f>
        <v>0.57638888888888817</v>
      </c>
      <c r="N42" s="43" t="str">
        <f>N37</f>
        <v>2eme C</v>
      </c>
      <c r="O42" s="43" t="str">
        <f>N38</f>
        <v>2eme D</v>
      </c>
      <c r="P42" s="63"/>
      <c r="Q42" s="64"/>
      <c r="R42" s="2"/>
      <c r="S42" s="44">
        <f>S41+$J$33+"00:02"</f>
        <v>0.59027777777777701</v>
      </c>
      <c r="T42" s="45" t="str">
        <f>T37</f>
        <v>1er C</v>
      </c>
      <c r="U42" s="45" t="str">
        <f>T38</f>
        <v>1er D</v>
      </c>
      <c r="V42" s="67"/>
      <c r="W42" s="68"/>
    </row>
    <row r="43" spans="1:24" ht="5.0999999999999996" customHeight="1" thickBot="1" x14ac:dyDescent="0.3">
      <c r="A43" s="19"/>
      <c r="B43" s="2"/>
      <c r="C43" s="2"/>
      <c r="D43" s="46"/>
      <c r="E43" s="46"/>
      <c r="F43" s="2"/>
      <c r="G43" s="2"/>
      <c r="H43" s="2"/>
      <c r="I43" s="47"/>
      <c r="J43" s="46"/>
      <c r="K43" s="281"/>
      <c r="L43" s="85"/>
      <c r="M43" s="2"/>
      <c r="N43" s="2"/>
      <c r="O43" s="2"/>
      <c r="P43" s="46"/>
      <c r="Q43" s="281"/>
      <c r="R43" s="2"/>
      <c r="S43" s="2"/>
      <c r="T43" s="2"/>
      <c r="U43" s="2"/>
      <c r="V43" s="46"/>
      <c r="W43" s="48"/>
    </row>
    <row r="44" spans="1:24" ht="14.45" customHeight="1" x14ac:dyDescent="0.25">
      <c r="A44" s="24"/>
      <c r="B44" s="713" t="s">
        <v>11</v>
      </c>
      <c r="C44" s="713"/>
      <c r="D44" s="713" t="s">
        <v>16</v>
      </c>
      <c r="E44" s="714"/>
      <c r="F44" s="25"/>
      <c r="G44" s="26"/>
      <c r="H44" s="715" t="s">
        <v>11</v>
      </c>
      <c r="I44" s="715"/>
      <c r="J44" s="715" t="s">
        <v>16</v>
      </c>
      <c r="K44" s="716"/>
      <c r="L44" s="77"/>
      <c r="M44" s="27"/>
      <c r="N44" s="786" t="s">
        <v>11</v>
      </c>
      <c r="O44" s="786"/>
      <c r="P44" s="786" t="s">
        <v>16</v>
      </c>
      <c r="Q44" s="787"/>
      <c r="R44" s="25"/>
      <c r="S44" s="28"/>
      <c r="T44" s="784" t="s">
        <v>11</v>
      </c>
      <c r="U44" s="784"/>
      <c r="V44" s="784" t="s">
        <v>16</v>
      </c>
      <c r="W44" s="785"/>
    </row>
    <row r="45" spans="1:24" ht="14.45" customHeight="1" x14ac:dyDescent="0.25">
      <c r="A45" s="30">
        <f>S42+$J$33+"00:02"</f>
        <v>0.59722222222222143</v>
      </c>
      <c r="B45" s="31" t="str">
        <f>B35</f>
        <v>4eme A</v>
      </c>
      <c r="C45" s="31" t="str">
        <f>B37</f>
        <v>4eme C</v>
      </c>
      <c r="D45" s="53"/>
      <c r="E45" s="54"/>
      <c r="F45" s="2"/>
      <c r="G45" s="32">
        <f>A46+$J$33+"00:02"</f>
        <v>0.61111111111111027</v>
      </c>
      <c r="H45" s="33" t="str">
        <f>H35</f>
        <v>3eme A</v>
      </c>
      <c r="I45" s="33" t="str">
        <f>H37</f>
        <v>3eme C</v>
      </c>
      <c r="J45" s="57"/>
      <c r="K45" s="58"/>
      <c r="L45" s="76"/>
      <c r="M45" s="34">
        <f>G46+$J$33+"00:02"</f>
        <v>0.62499999999999911</v>
      </c>
      <c r="N45" s="35" t="str">
        <f>N35</f>
        <v>2eme A</v>
      </c>
      <c r="O45" s="35" t="str">
        <f>N37</f>
        <v>2eme C</v>
      </c>
      <c r="P45" s="61"/>
      <c r="Q45" s="62"/>
      <c r="R45" s="2"/>
      <c r="S45" s="36">
        <f>M46+$J$33+"00:02"</f>
        <v>0.63888888888888795</v>
      </c>
      <c r="T45" s="37" t="str">
        <f>T35</f>
        <v>1er A</v>
      </c>
      <c r="U45" s="37" t="str">
        <f>T37</f>
        <v>1er C</v>
      </c>
      <c r="V45" s="65"/>
      <c r="W45" s="66"/>
    </row>
    <row r="46" spans="1:24" ht="14.45" customHeight="1" thickBot="1" x14ac:dyDescent="0.3">
      <c r="A46" s="38">
        <f>A45+$J$33+"00:02"</f>
        <v>0.60416666666666585</v>
      </c>
      <c r="B46" s="39" t="str">
        <f>B36</f>
        <v>4eme B</v>
      </c>
      <c r="C46" s="39" t="str">
        <f>B38</f>
        <v>4eme D</v>
      </c>
      <c r="D46" s="55"/>
      <c r="E46" s="56"/>
      <c r="F46" s="2"/>
      <c r="G46" s="40">
        <f>G45+$J$33+"00:02"</f>
        <v>0.61805555555555469</v>
      </c>
      <c r="H46" s="41" t="str">
        <f>H36</f>
        <v>3eme B</v>
      </c>
      <c r="I46" s="41" t="str">
        <f>H38</f>
        <v>3eme D</v>
      </c>
      <c r="J46" s="59"/>
      <c r="K46" s="60"/>
      <c r="L46" s="76"/>
      <c r="M46" s="42">
        <f>M45+$J$33+"00:02"</f>
        <v>0.63194444444444353</v>
      </c>
      <c r="N46" s="43" t="str">
        <f>N36</f>
        <v>2eme B</v>
      </c>
      <c r="O46" s="43" t="str">
        <f>N38</f>
        <v>2eme D</v>
      </c>
      <c r="P46" s="63"/>
      <c r="Q46" s="64"/>
      <c r="R46" s="2"/>
      <c r="S46" s="44">
        <f>S45+$J$33+"00:02"</f>
        <v>0.64583333333333237</v>
      </c>
      <c r="T46" s="45" t="str">
        <f>T36</f>
        <v>1er B</v>
      </c>
      <c r="U46" s="45" t="str">
        <f>T38</f>
        <v>1er D</v>
      </c>
      <c r="V46" s="67"/>
      <c r="W46" s="68"/>
    </row>
    <row r="47" spans="1:24" ht="5.0999999999999996" customHeight="1" thickBot="1" x14ac:dyDescent="0.3">
      <c r="A47" s="19"/>
      <c r="B47" s="2"/>
      <c r="C47" s="2"/>
      <c r="D47" s="46"/>
      <c r="E47" s="46"/>
      <c r="F47" s="2"/>
      <c r="G47" s="2"/>
      <c r="H47" s="2"/>
      <c r="I47" s="47"/>
      <c r="J47" s="46"/>
      <c r="K47" s="281"/>
      <c r="L47" s="85"/>
      <c r="M47" s="2"/>
      <c r="N47" s="2"/>
      <c r="O47" s="2"/>
      <c r="P47" s="46"/>
      <c r="Q47" s="281"/>
      <c r="R47" s="2"/>
      <c r="S47" s="2"/>
      <c r="T47" s="2"/>
      <c r="U47" s="2"/>
      <c r="V47" s="46"/>
      <c r="W47" s="48"/>
    </row>
    <row r="48" spans="1:24" ht="14.45" customHeight="1" x14ac:dyDescent="0.25">
      <c r="A48" s="24"/>
      <c r="B48" s="713" t="s">
        <v>12</v>
      </c>
      <c r="C48" s="713"/>
      <c r="D48" s="713" t="s">
        <v>16</v>
      </c>
      <c r="E48" s="714"/>
      <c r="F48" s="25"/>
      <c r="G48" s="26"/>
      <c r="H48" s="715" t="s">
        <v>12</v>
      </c>
      <c r="I48" s="715"/>
      <c r="J48" s="715" t="s">
        <v>16</v>
      </c>
      <c r="K48" s="716"/>
      <c r="L48" s="77"/>
      <c r="M48" s="27"/>
      <c r="N48" s="786" t="s">
        <v>12</v>
      </c>
      <c r="O48" s="786"/>
      <c r="P48" s="786" t="s">
        <v>16</v>
      </c>
      <c r="Q48" s="787"/>
      <c r="R48" s="25"/>
      <c r="S48" s="28"/>
      <c r="T48" s="784" t="s">
        <v>12</v>
      </c>
      <c r="U48" s="784"/>
      <c r="V48" s="784" t="s">
        <v>16</v>
      </c>
      <c r="W48" s="785"/>
    </row>
    <row r="49" spans="1:23" ht="14.45" customHeight="1" x14ac:dyDescent="0.25">
      <c r="A49" s="30">
        <f>S46+$J$33+"00:02"</f>
        <v>0.65277777777777679</v>
      </c>
      <c r="B49" s="31" t="str">
        <f>B35</f>
        <v>4eme A</v>
      </c>
      <c r="C49" s="31" t="str">
        <f>B38</f>
        <v>4eme D</v>
      </c>
      <c r="D49" s="53"/>
      <c r="E49" s="54"/>
      <c r="F49" s="2"/>
      <c r="G49" s="32">
        <f>A50+$J$33+"00:02"</f>
        <v>0.66666666666666563</v>
      </c>
      <c r="H49" s="33" t="str">
        <f>H35</f>
        <v>3eme A</v>
      </c>
      <c r="I49" s="33" t="str">
        <f>H38</f>
        <v>3eme D</v>
      </c>
      <c r="J49" s="57"/>
      <c r="K49" s="58"/>
      <c r="L49" s="76"/>
      <c r="M49" s="34">
        <f>G50+$J$33+"00:02"</f>
        <v>0.68055555555555447</v>
      </c>
      <c r="N49" s="35" t="str">
        <f>N35</f>
        <v>2eme A</v>
      </c>
      <c r="O49" s="35" t="str">
        <f>N38</f>
        <v>2eme D</v>
      </c>
      <c r="P49" s="61"/>
      <c r="Q49" s="62"/>
      <c r="R49" s="2"/>
      <c r="S49" s="36">
        <f>M50+$J$33+"00:02"</f>
        <v>0.69444444444444331</v>
      </c>
      <c r="T49" s="37" t="str">
        <f>T35</f>
        <v>1er A</v>
      </c>
      <c r="U49" s="37" t="str">
        <f>T38</f>
        <v>1er D</v>
      </c>
      <c r="V49" s="65"/>
      <c r="W49" s="66"/>
    </row>
    <row r="50" spans="1:23" ht="14.45" customHeight="1" thickBot="1" x14ac:dyDescent="0.3">
      <c r="A50" s="38">
        <f>A49+$J$33+"00:02"</f>
        <v>0.65972222222222121</v>
      </c>
      <c r="B50" s="39" t="str">
        <f>B36</f>
        <v>4eme B</v>
      </c>
      <c r="C50" s="39" t="str">
        <f>B37</f>
        <v>4eme C</v>
      </c>
      <c r="D50" s="55"/>
      <c r="E50" s="56"/>
      <c r="F50" s="47"/>
      <c r="G50" s="40">
        <f>G49+$J$33+"00:02"</f>
        <v>0.67361111111111005</v>
      </c>
      <c r="H50" s="41" t="str">
        <f>H36</f>
        <v>3eme B</v>
      </c>
      <c r="I50" s="41" t="str">
        <f>H37</f>
        <v>3eme C</v>
      </c>
      <c r="J50" s="59"/>
      <c r="K50" s="60"/>
      <c r="L50" s="78"/>
      <c r="M50" s="42">
        <f>M49+$J$33+"00:02"</f>
        <v>0.68749999999999889</v>
      </c>
      <c r="N50" s="43" t="str">
        <f>N36</f>
        <v>2eme B</v>
      </c>
      <c r="O50" s="43" t="str">
        <f>N37</f>
        <v>2eme C</v>
      </c>
      <c r="P50" s="63"/>
      <c r="Q50" s="64"/>
      <c r="R50" s="47"/>
      <c r="S50" s="44">
        <f>S49+$J$33+"00:02"</f>
        <v>0.70138888888888773</v>
      </c>
      <c r="T50" s="45" t="str">
        <f>T36</f>
        <v>1er B</v>
      </c>
      <c r="U50" s="45" t="str">
        <f>T37</f>
        <v>1er C</v>
      </c>
      <c r="V50" s="67"/>
      <c r="W50" s="68"/>
    </row>
    <row r="51" spans="1:23" ht="5.0999999999999996" customHeight="1" thickBot="1" x14ac:dyDescent="0.3">
      <c r="A51" s="118"/>
      <c r="B51" s="119"/>
      <c r="C51" s="119"/>
      <c r="D51" s="173"/>
      <c r="E51" s="173"/>
      <c r="F51" s="89"/>
      <c r="G51" s="120"/>
      <c r="H51" s="119"/>
      <c r="I51" s="119"/>
      <c r="J51" s="173"/>
      <c r="K51" s="173"/>
      <c r="L51" s="89"/>
      <c r="M51" s="120"/>
      <c r="N51" s="119"/>
      <c r="O51" s="119"/>
      <c r="P51" s="173"/>
      <c r="Q51" s="173"/>
      <c r="R51" s="89"/>
      <c r="S51" s="93"/>
      <c r="T51" s="115"/>
      <c r="U51" s="115"/>
      <c r="V51" s="116"/>
      <c r="W51" s="117"/>
    </row>
    <row r="52" spans="1:23" ht="14.45" customHeight="1" thickBot="1" x14ac:dyDescent="0.3">
      <c r="A52" s="783" t="s">
        <v>47</v>
      </c>
      <c r="B52" s="762"/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2"/>
      <c r="U52" s="762"/>
      <c r="V52" s="762"/>
      <c r="W52" s="763"/>
    </row>
    <row r="53" spans="1:23" ht="14.45" customHeight="1" x14ac:dyDescent="0.25">
      <c r="A53" s="81" t="s">
        <v>21</v>
      </c>
      <c r="B53" s="711" t="s">
        <v>41</v>
      </c>
      <c r="C53" s="711"/>
      <c r="D53" s="711" t="s">
        <v>15</v>
      </c>
      <c r="E53" s="712"/>
      <c r="F53" s="122"/>
      <c r="G53" s="81" t="s">
        <v>21</v>
      </c>
      <c r="H53" s="711" t="s">
        <v>42</v>
      </c>
      <c r="I53" s="711"/>
      <c r="J53" s="711" t="s">
        <v>15</v>
      </c>
      <c r="K53" s="712"/>
      <c r="L53" s="75"/>
      <c r="M53" s="81" t="s">
        <v>21</v>
      </c>
      <c r="N53" s="711" t="s">
        <v>43</v>
      </c>
      <c r="O53" s="711"/>
      <c r="P53" s="711" t="s">
        <v>15</v>
      </c>
      <c r="Q53" s="712"/>
      <c r="R53" s="122"/>
      <c r="S53" s="81" t="s">
        <v>21</v>
      </c>
      <c r="T53" s="711" t="s">
        <v>55</v>
      </c>
      <c r="U53" s="711"/>
      <c r="V53" s="711" t="s">
        <v>15</v>
      </c>
      <c r="W53" s="712"/>
    </row>
    <row r="54" spans="1:23" ht="14.45" customHeight="1" x14ac:dyDescent="0.25">
      <c r="A54" s="49">
        <v>1</v>
      </c>
      <c r="B54" s="680" t="str">
        <f>VLOOKUP($A54,$A$69:$D$72,2,FALSE)</f>
        <v>4eme A</v>
      </c>
      <c r="C54" s="680"/>
      <c r="D54" s="683">
        <f>VLOOKUP($A54,$A$69:$D$72,4,FALSE)</f>
        <v>3.9999999999999998E-7</v>
      </c>
      <c r="E54" s="683"/>
      <c r="F54" s="105"/>
      <c r="G54" s="49">
        <v>1</v>
      </c>
      <c r="H54" s="680" t="str">
        <f>VLOOKUP($G54,$G$69:$J$72,2,FALSE)</f>
        <v>3eme A</v>
      </c>
      <c r="I54" s="680"/>
      <c r="J54" s="681">
        <f>VLOOKUP($G54,$G$69:$J$72,4,FALSE)</f>
        <v>3.9999999999999998E-7</v>
      </c>
      <c r="K54" s="681"/>
      <c r="L54" s="76"/>
      <c r="M54" s="49">
        <v>1</v>
      </c>
      <c r="N54" s="680" t="str">
        <f>VLOOKUP($M54,$M$69:$P$72,2,FALSE)</f>
        <v>2eme A</v>
      </c>
      <c r="O54" s="680"/>
      <c r="P54" s="681">
        <f>VLOOKUP($M54,$M$69:$P$72,4,FALSE)</f>
        <v>3.9999999999999998E-7</v>
      </c>
      <c r="Q54" s="681"/>
      <c r="R54" s="105"/>
      <c r="S54" s="49">
        <v>1</v>
      </c>
      <c r="T54" s="680" t="str">
        <f>VLOOKUP($S54,$S$69:$V$72,2,FALSE)</f>
        <v>1er A</v>
      </c>
      <c r="U54" s="680"/>
      <c r="V54" s="681">
        <f>VLOOKUP($S54,$S$69:$V$72,4,FALSE)</f>
        <v>3.9999999999999998E-7</v>
      </c>
      <c r="W54" s="681"/>
    </row>
    <row r="55" spans="1:23" ht="14.45" customHeight="1" x14ac:dyDescent="0.25">
      <c r="A55" s="49">
        <v>2</v>
      </c>
      <c r="B55" s="680" t="str">
        <f t="shared" ref="B55:B57" si="0">VLOOKUP($A55,$A$69:$D$72,2,FALSE)</f>
        <v>4eme B</v>
      </c>
      <c r="C55" s="680"/>
      <c r="D55" s="683">
        <f t="shared" ref="D55:D57" si="1">VLOOKUP($A55,$A$69:$D$72,4,FALSE)</f>
        <v>2.9999999999999999E-7</v>
      </c>
      <c r="E55" s="683"/>
      <c r="F55" s="105"/>
      <c r="G55" s="49">
        <v>2</v>
      </c>
      <c r="H55" s="680" t="str">
        <f t="shared" ref="H55:H57" si="2">VLOOKUP($G55,$G$69:$J$72,2,FALSE)</f>
        <v>3eme B</v>
      </c>
      <c r="I55" s="680"/>
      <c r="J55" s="681">
        <f t="shared" ref="J55:J57" si="3">VLOOKUP($G55,$G$69:$J$72,4,FALSE)</f>
        <v>2.9999999999999999E-7</v>
      </c>
      <c r="K55" s="681"/>
      <c r="L55" s="76"/>
      <c r="M55" s="49">
        <v>2</v>
      </c>
      <c r="N55" s="680" t="str">
        <f t="shared" ref="N55:N57" si="4">VLOOKUP($M55,$M$69:$P$72,2,FALSE)</f>
        <v>2eme B</v>
      </c>
      <c r="O55" s="680"/>
      <c r="P55" s="681">
        <f t="shared" ref="P55:P57" si="5">VLOOKUP($M55,$M$69:$P$72,4,FALSE)</f>
        <v>2.9999999999999999E-7</v>
      </c>
      <c r="Q55" s="681"/>
      <c r="R55" s="105"/>
      <c r="S55" s="49">
        <v>2</v>
      </c>
      <c r="T55" s="680" t="str">
        <f t="shared" ref="T55:T57" si="6">VLOOKUP($S55,$S$69:$V$72,2,FALSE)</f>
        <v>1er B</v>
      </c>
      <c r="U55" s="680"/>
      <c r="V55" s="681">
        <f t="shared" ref="V55:V57" si="7">VLOOKUP($S55,$S$69:$V$72,4,FALSE)</f>
        <v>2.9999999999999999E-7</v>
      </c>
      <c r="W55" s="681"/>
    </row>
    <row r="56" spans="1:23" ht="14.45" customHeight="1" x14ac:dyDescent="0.25">
      <c r="A56" s="49">
        <v>3</v>
      </c>
      <c r="B56" s="680" t="str">
        <f t="shared" si="0"/>
        <v>4eme C</v>
      </c>
      <c r="C56" s="680"/>
      <c r="D56" s="683">
        <f t="shared" si="1"/>
        <v>1.9999999999999999E-7</v>
      </c>
      <c r="E56" s="683"/>
      <c r="F56" s="105"/>
      <c r="G56" s="49">
        <v>3</v>
      </c>
      <c r="H56" s="680" t="str">
        <f t="shared" si="2"/>
        <v>3eme C</v>
      </c>
      <c r="I56" s="680"/>
      <c r="J56" s="681">
        <f t="shared" si="3"/>
        <v>1.9999999999999999E-7</v>
      </c>
      <c r="K56" s="681"/>
      <c r="L56" s="76"/>
      <c r="M56" s="49">
        <v>3</v>
      </c>
      <c r="N56" s="680" t="str">
        <f t="shared" si="4"/>
        <v>2eme C</v>
      </c>
      <c r="O56" s="680"/>
      <c r="P56" s="681">
        <f t="shared" si="5"/>
        <v>1.9999999999999999E-7</v>
      </c>
      <c r="Q56" s="681"/>
      <c r="R56" s="105"/>
      <c r="S56" s="49">
        <v>3</v>
      </c>
      <c r="T56" s="680" t="str">
        <f t="shared" si="6"/>
        <v>1er C</v>
      </c>
      <c r="U56" s="680"/>
      <c r="V56" s="681">
        <f t="shared" si="7"/>
        <v>1.9999999999999999E-7</v>
      </c>
      <c r="W56" s="681"/>
    </row>
    <row r="57" spans="1:23" ht="14.45" customHeight="1" thickBot="1" x14ac:dyDescent="0.3">
      <c r="A57" s="50">
        <v>4</v>
      </c>
      <c r="B57" s="680" t="str">
        <f t="shared" si="0"/>
        <v>4eme D</v>
      </c>
      <c r="C57" s="680"/>
      <c r="D57" s="683">
        <f t="shared" si="1"/>
        <v>9.9999999999999995E-8</v>
      </c>
      <c r="E57" s="683"/>
      <c r="F57" s="123"/>
      <c r="G57" s="50">
        <v>4</v>
      </c>
      <c r="H57" s="680" t="str">
        <f t="shared" si="2"/>
        <v>3eme D</v>
      </c>
      <c r="I57" s="680"/>
      <c r="J57" s="681">
        <f t="shared" si="3"/>
        <v>9.9999999999999995E-8</v>
      </c>
      <c r="K57" s="681"/>
      <c r="L57" s="78"/>
      <c r="M57" s="50">
        <v>4</v>
      </c>
      <c r="N57" s="680" t="str">
        <f t="shared" si="4"/>
        <v>2eme D</v>
      </c>
      <c r="O57" s="680"/>
      <c r="P57" s="681">
        <f t="shared" si="5"/>
        <v>9.9999999999999995E-8</v>
      </c>
      <c r="Q57" s="681"/>
      <c r="R57" s="123"/>
      <c r="S57" s="50">
        <v>4</v>
      </c>
      <c r="T57" s="680" t="str">
        <f t="shared" si="6"/>
        <v>1er D</v>
      </c>
      <c r="U57" s="680"/>
      <c r="V57" s="681">
        <f t="shared" si="7"/>
        <v>9.9999999999999995E-8</v>
      </c>
      <c r="W57" s="681"/>
    </row>
    <row r="58" spans="1:23" ht="15" customHeight="1" thickBot="1" x14ac:dyDescent="0.3">
      <c r="A58" s="768" t="s">
        <v>34</v>
      </c>
      <c r="B58" s="675"/>
      <c r="C58" s="675"/>
      <c r="D58" s="675"/>
      <c r="E58" s="675"/>
      <c r="F58" s="675"/>
      <c r="G58" s="675"/>
      <c r="H58" s="675"/>
      <c r="I58" s="675"/>
      <c r="J58" s="675"/>
      <c r="K58" s="675"/>
      <c r="L58" s="675"/>
      <c r="M58" s="675"/>
      <c r="N58" s="675"/>
      <c r="O58" s="675"/>
      <c r="P58" s="675"/>
      <c r="Q58" s="675"/>
      <c r="R58" s="675"/>
      <c r="S58" s="675"/>
      <c r="T58" s="675"/>
      <c r="U58" s="675"/>
      <c r="V58" s="675"/>
      <c r="W58" s="676"/>
    </row>
    <row r="59" spans="1:23" s="2" customFormat="1" x14ac:dyDescent="0.25">
      <c r="A59" s="771" t="s">
        <v>115</v>
      </c>
      <c r="B59" s="771"/>
      <c r="C59" s="771"/>
      <c r="D59" s="771"/>
      <c r="E59" s="771"/>
      <c r="F59" s="771"/>
      <c r="G59" s="771"/>
      <c r="H59" s="771"/>
      <c r="I59" s="771"/>
      <c r="J59" s="771"/>
      <c r="K59" s="771"/>
      <c r="L59" s="771"/>
      <c r="M59" s="771"/>
      <c r="N59" s="771"/>
      <c r="O59" s="771"/>
      <c r="P59" s="771"/>
      <c r="Q59" s="771"/>
      <c r="R59" s="771"/>
      <c r="S59" s="771"/>
      <c r="T59" s="771"/>
      <c r="U59" s="771"/>
      <c r="V59" s="771"/>
      <c r="W59" s="771"/>
    </row>
    <row r="60" spans="1:23" s="2" customFormat="1" ht="15.75" hidden="1" thickBot="1" x14ac:dyDescent="0.3"/>
    <row r="61" spans="1:23" ht="16.5" hidden="1" thickBot="1" x14ac:dyDescent="0.3">
      <c r="A61" s="670" t="s">
        <v>49</v>
      </c>
      <c r="B61" s="671"/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2"/>
    </row>
    <row r="62" spans="1:23" ht="14.45" hidden="1" customHeight="1" x14ac:dyDescent="0.25">
      <c r="A62" s="96"/>
      <c r="B62" s="711" t="s">
        <v>1</v>
      </c>
      <c r="C62" s="711"/>
      <c r="D62" s="711" t="s">
        <v>15</v>
      </c>
      <c r="E62" s="772"/>
      <c r="F62" s="773"/>
      <c r="G62" s="121"/>
      <c r="H62" s="711" t="s">
        <v>2</v>
      </c>
      <c r="I62" s="711"/>
      <c r="J62" s="711" t="s">
        <v>15</v>
      </c>
      <c r="K62" s="772"/>
      <c r="L62" s="75"/>
      <c r="M62" s="121"/>
      <c r="N62" s="711" t="s">
        <v>3</v>
      </c>
      <c r="O62" s="711"/>
      <c r="P62" s="711" t="s">
        <v>15</v>
      </c>
      <c r="Q62" s="772"/>
      <c r="R62" s="122"/>
      <c r="S62" s="96"/>
      <c r="T62" s="711" t="s">
        <v>4</v>
      </c>
      <c r="U62" s="711"/>
      <c r="V62" s="711" t="s">
        <v>15</v>
      </c>
      <c r="W62" s="712"/>
    </row>
    <row r="63" spans="1:23" ht="14.45" hidden="1" customHeight="1" x14ac:dyDescent="0.25">
      <c r="A63" s="86">
        <f>RANK(D63,$D$63:$D$66)</f>
        <v>1</v>
      </c>
      <c r="B63" s="69" t="str">
        <f>B8</f>
        <v>Equipe 1</v>
      </c>
      <c r="C63" s="69">
        <f>D14-E14+D18-E18+D22-E22</f>
        <v>0</v>
      </c>
      <c r="D63" s="681">
        <f>D8+4/10000000</f>
        <v>3.9999999999999998E-7</v>
      </c>
      <c r="E63" s="767"/>
      <c r="F63" s="774"/>
      <c r="G63" s="91">
        <f>RANK(J63,$J$63:$J$66)</f>
        <v>1</v>
      </c>
      <c r="H63" s="69" t="str">
        <f>H8</f>
        <v>Equipe 5</v>
      </c>
      <c r="I63" s="69">
        <f>J14-K14+J18-K18+J22-K22</f>
        <v>0</v>
      </c>
      <c r="J63" s="681">
        <f>J8+4/10000000</f>
        <v>3.9999999999999998E-7</v>
      </c>
      <c r="K63" s="767"/>
      <c r="L63" s="76"/>
      <c r="M63" s="91">
        <f>RANK(P63,$P$63:$P$66)</f>
        <v>1</v>
      </c>
      <c r="N63" s="69" t="str">
        <f>N8</f>
        <v>Equipe 9</v>
      </c>
      <c r="O63" s="69">
        <f>P14-Q14+P18-Q18+P22-Q22</f>
        <v>0</v>
      </c>
      <c r="P63" s="681">
        <f>P8+4/10000000</f>
        <v>3.9999999999999998E-7</v>
      </c>
      <c r="Q63" s="767"/>
      <c r="R63" s="105"/>
      <c r="S63" s="86">
        <f>RANK(V63,$V$63:$V$66)</f>
        <v>1</v>
      </c>
      <c r="T63" s="69" t="str">
        <f>T8</f>
        <v>Equipe 13</v>
      </c>
      <c r="U63" s="69">
        <f>V14-W14+V18-W18+V22-W22</f>
        <v>0</v>
      </c>
      <c r="V63" s="681">
        <f>V8+4/10000000</f>
        <v>3.9999999999999998E-7</v>
      </c>
      <c r="W63" s="682"/>
    </row>
    <row r="64" spans="1:23" ht="14.45" hidden="1" customHeight="1" x14ac:dyDescent="0.25">
      <c r="A64" s="86">
        <f t="shared" ref="A64:A66" si="8">RANK(D64,$D$63:$D$66)</f>
        <v>2</v>
      </c>
      <c r="B64" s="69" t="str">
        <f>B9</f>
        <v>Equipe 2</v>
      </c>
      <c r="C64" s="69">
        <f>E14-D14+D19-E19+D23-E23</f>
        <v>0</v>
      </c>
      <c r="D64" s="681">
        <f>D9+3/10000000</f>
        <v>2.9999999999999999E-7</v>
      </c>
      <c r="E64" s="767"/>
      <c r="F64" s="774"/>
      <c r="G64" s="91">
        <f t="shared" ref="G64:G66" si="9">RANK(J64,$J$63:$J$66)</f>
        <v>2</v>
      </c>
      <c r="H64" s="69" t="str">
        <f>H9</f>
        <v>Equipe 6</v>
      </c>
      <c r="I64" s="69">
        <f>K14-J14+J19-K19+J23-K23</f>
        <v>0</v>
      </c>
      <c r="J64" s="681">
        <f>J9+3/10000000</f>
        <v>2.9999999999999999E-7</v>
      </c>
      <c r="K64" s="767"/>
      <c r="L64" s="76"/>
      <c r="M64" s="91">
        <f t="shared" ref="M64:M66" si="10">RANK(P64,$P$63:$P$66)</f>
        <v>2</v>
      </c>
      <c r="N64" s="69" t="str">
        <f>N9</f>
        <v>Equipe 10</v>
      </c>
      <c r="O64" s="69">
        <f>Q14-P14+P19-Q19+P23-Q23</f>
        <v>0</v>
      </c>
      <c r="P64" s="681">
        <f>P9+3/10000000</f>
        <v>2.9999999999999999E-7</v>
      </c>
      <c r="Q64" s="767"/>
      <c r="R64" s="105"/>
      <c r="S64" s="86">
        <f t="shared" ref="S64:S66" si="11">RANK(V64,$V$63:$V$66)</f>
        <v>2</v>
      </c>
      <c r="T64" s="69" t="str">
        <f>T9</f>
        <v>Equipe 14</v>
      </c>
      <c r="U64" s="69">
        <f>W14-V14+V19-W19+V23-W23</f>
        <v>0</v>
      </c>
      <c r="V64" s="681">
        <f>V9+3/10000000</f>
        <v>2.9999999999999999E-7</v>
      </c>
      <c r="W64" s="682"/>
    </row>
    <row r="65" spans="1:23" ht="14.45" hidden="1" customHeight="1" x14ac:dyDescent="0.25">
      <c r="A65" s="86">
        <f t="shared" si="8"/>
        <v>3</v>
      </c>
      <c r="B65" s="69" t="str">
        <f>B10</f>
        <v>Equipe 3</v>
      </c>
      <c r="C65" s="69">
        <f>D15-E15+E18-D18+E23-D23</f>
        <v>0</v>
      </c>
      <c r="D65" s="681">
        <f>D10+2/10000000</f>
        <v>1.9999999999999999E-7</v>
      </c>
      <c r="E65" s="767"/>
      <c r="F65" s="774"/>
      <c r="G65" s="91">
        <f t="shared" si="9"/>
        <v>3</v>
      </c>
      <c r="H65" s="69" t="str">
        <f>H10</f>
        <v>Equipe 7</v>
      </c>
      <c r="I65" s="69">
        <f>J15-K15+K18-J18+K23-J23</f>
        <v>0</v>
      </c>
      <c r="J65" s="681">
        <f>J10+2/10000000</f>
        <v>1.9999999999999999E-7</v>
      </c>
      <c r="K65" s="767"/>
      <c r="L65" s="76"/>
      <c r="M65" s="91">
        <f t="shared" si="10"/>
        <v>3</v>
      </c>
      <c r="N65" s="69" t="str">
        <f>N10</f>
        <v>Equipe 11</v>
      </c>
      <c r="O65" s="69">
        <f>P15-Q15+Q18-P18+Q23-P23</f>
        <v>0</v>
      </c>
      <c r="P65" s="681">
        <f>P10+2/10000000</f>
        <v>1.9999999999999999E-7</v>
      </c>
      <c r="Q65" s="767"/>
      <c r="R65" s="105"/>
      <c r="S65" s="86">
        <f t="shared" si="11"/>
        <v>3</v>
      </c>
      <c r="T65" s="69" t="str">
        <f>T10</f>
        <v>Equipe 15</v>
      </c>
      <c r="U65" s="69">
        <f>V15-W15+W18-V18+W23-V23</f>
        <v>0</v>
      </c>
      <c r="V65" s="681">
        <f>V10+2/10000000</f>
        <v>1.9999999999999999E-7</v>
      </c>
      <c r="W65" s="682"/>
    </row>
    <row r="66" spans="1:23" ht="14.45" hidden="1" customHeight="1" thickBot="1" x14ac:dyDescent="0.3">
      <c r="A66" s="87">
        <f t="shared" si="8"/>
        <v>4</v>
      </c>
      <c r="B66" s="88" t="str">
        <f>B11</f>
        <v>Equipe 4</v>
      </c>
      <c r="C66" s="88">
        <f>E15-D15+E19-D19+E22-D22</f>
        <v>0</v>
      </c>
      <c r="D66" s="709">
        <f>D11+1/10000000</f>
        <v>9.9999999999999995E-8</v>
      </c>
      <c r="E66" s="761"/>
      <c r="F66" s="775"/>
      <c r="G66" s="92">
        <f t="shared" si="9"/>
        <v>4</v>
      </c>
      <c r="H66" s="88" t="str">
        <f>H11</f>
        <v>Equipe 8</v>
      </c>
      <c r="I66" s="88">
        <f>K15-J15+K19-J19+K22-J22</f>
        <v>0</v>
      </c>
      <c r="J66" s="709">
        <f>J11+1/10000000</f>
        <v>9.9999999999999995E-8</v>
      </c>
      <c r="K66" s="761"/>
      <c r="L66" s="78"/>
      <c r="M66" s="92">
        <f t="shared" si="10"/>
        <v>4</v>
      </c>
      <c r="N66" s="88" t="str">
        <f>N11</f>
        <v>Equipe 12</v>
      </c>
      <c r="O66" s="88">
        <f>Q15-P15+Q19-P19+Q22-P22</f>
        <v>0</v>
      </c>
      <c r="P66" s="709">
        <f>P11+1/10000000</f>
        <v>9.9999999999999995E-8</v>
      </c>
      <c r="Q66" s="761"/>
      <c r="R66" s="123"/>
      <c r="S66" s="87">
        <f t="shared" si="11"/>
        <v>4</v>
      </c>
      <c r="T66" s="88" t="str">
        <f>T11</f>
        <v>Equipe 16</v>
      </c>
      <c r="U66" s="88">
        <f>W15-V15+W19-V19+W22-V22</f>
        <v>0</v>
      </c>
      <c r="V66" s="709">
        <f>V11+1/10000000</f>
        <v>9.9999999999999995E-8</v>
      </c>
      <c r="W66" s="710"/>
    </row>
    <row r="67" spans="1:23" ht="16.5" hidden="1" thickBot="1" x14ac:dyDescent="0.3">
      <c r="A67" s="670" t="s">
        <v>47</v>
      </c>
      <c r="B67" s="671"/>
      <c r="C67" s="671"/>
      <c r="D67" s="671"/>
      <c r="E67" s="671"/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  <c r="V67" s="671"/>
      <c r="W67" s="672"/>
    </row>
    <row r="68" spans="1:23" ht="14.45" hidden="1" customHeight="1" x14ac:dyDescent="0.25">
      <c r="A68" s="96"/>
      <c r="B68" s="711" t="s">
        <v>62</v>
      </c>
      <c r="C68" s="711"/>
      <c r="D68" s="711" t="s">
        <v>15</v>
      </c>
      <c r="E68" s="712"/>
      <c r="F68" s="773"/>
      <c r="G68" s="96"/>
      <c r="H68" s="711" t="s">
        <v>63</v>
      </c>
      <c r="I68" s="711"/>
      <c r="J68" s="711" t="s">
        <v>15</v>
      </c>
      <c r="K68" s="712"/>
      <c r="L68" s="75"/>
      <c r="M68" s="96"/>
      <c r="N68" s="711" t="s">
        <v>64</v>
      </c>
      <c r="O68" s="711"/>
      <c r="P68" s="711" t="s">
        <v>15</v>
      </c>
      <c r="Q68" s="712"/>
      <c r="R68" s="122"/>
      <c r="S68" s="96"/>
      <c r="T68" s="711" t="s">
        <v>65</v>
      </c>
      <c r="U68" s="711"/>
      <c r="V68" s="711" t="s">
        <v>15</v>
      </c>
      <c r="W68" s="712"/>
    </row>
    <row r="69" spans="1:23" ht="14.45" hidden="1" customHeight="1" x14ac:dyDescent="0.25">
      <c r="A69" s="86">
        <f>RANK(D69,$D$69:$D$72)</f>
        <v>1</v>
      </c>
      <c r="B69" s="69" t="str">
        <f>B35</f>
        <v>4eme A</v>
      </c>
      <c r="C69" s="69">
        <f>D41-E41+D45-E45+D49-E49</f>
        <v>0</v>
      </c>
      <c r="D69" s="681">
        <f>D35+4/10000000</f>
        <v>3.9999999999999998E-7</v>
      </c>
      <c r="E69" s="682"/>
      <c r="F69" s="774"/>
      <c r="G69" s="86">
        <f>RANK(J69,$J$69:$J$72)</f>
        <v>1</v>
      </c>
      <c r="H69" s="69" t="str">
        <f>H35</f>
        <v>3eme A</v>
      </c>
      <c r="I69" s="69">
        <f>J41-K41+J45-K45+J49-K49</f>
        <v>0</v>
      </c>
      <c r="J69" s="681">
        <f>J35+4/10000000</f>
        <v>3.9999999999999998E-7</v>
      </c>
      <c r="K69" s="682"/>
      <c r="L69" s="76"/>
      <c r="M69" s="86">
        <f>RANK(P69,$P$69:$P$72)</f>
        <v>1</v>
      </c>
      <c r="N69" s="69" t="str">
        <f>N35</f>
        <v>2eme A</v>
      </c>
      <c r="O69" s="69">
        <f>P41-Q41+P45-Q45+P49-Q49</f>
        <v>0</v>
      </c>
      <c r="P69" s="681">
        <f>P35+4/10000000</f>
        <v>3.9999999999999998E-7</v>
      </c>
      <c r="Q69" s="682"/>
      <c r="R69" s="105"/>
      <c r="S69" s="86">
        <f>RANK(V69,$V$69:$V$72)</f>
        <v>1</v>
      </c>
      <c r="T69" s="69" t="str">
        <f>T35</f>
        <v>1er A</v>
      </c>
      <c r="U69" s="69">
        <f>V41-W41+V45-W45+V49-W49</f>
        <v>0</v>
      </c>
      <c r="V69" s="681">
        <f>V35+4/10000000</f>
        <v>3.9999999999999998E-7</v>
      </c>
      <c r="W69" s="682"/>
    </row>
    <row r="70" spans="1:23" ht="14.45" hidden="1" customHeight="1" x14ac:dyDescent="0.25">
      <c r="A70" s="86">
        <f t="shared" ref="A70:A72" si="12">RANK(D70,$D$69:$D$72)</f>
        <v>2</v>
      </c>
      <c r="B70" s="69" t="str">
        <f t="shared" ref="B70:B72" si="13">B36</f>
        <v>4eme B</v>
      </c>
      <c r="C70" s="69">
        <f>E41-D41+D46-E46+D50-E50</f>
        <v>0</v>
      </c>
      <c r="D70" s="681">
        <f>D36+3/10000000</f>
        <v>2.9999999999999999E-7</v>
      </c>
      <c r="E70" s="682"/>
      <c r="F70" s="774"/>
      <c r="G70" s="86">
        <f t="shared" ref="G70:G72" si="14">RANK(J70,$J$69:$J$72)</f>
        <v>2</v>
      </c>
      <c r="H70" s="69" t="str">
        <f t="shared" ref="H70:H72" si="15">H36</f>
        <v>3eme B</v>
      </c>
      <c r="I70" s="69">
        <f>K41-J41+J46-K46+J50-K50</f>
        <v>0</v>
      </c>
      <c r="J70" s="681">
        <f>J36+3/10000000</f>
        <v>2.9999999999999999E-7</v>
      </c>
      <c r="K70" s="682"/>
      <c r="L70" s="76"/>
      <c r="M70" s="86">
        <f t="shared" ref="M70:M72" si="16">RANK(P70,$P$69:$P$72)</f>
        <v>2</v>
      </c>
      <c r="N70" s="69" t="str">
        <f t="shared" ref="N70:N72" si="17">N36</f>
        <v>2eme B</v>
      </c>
      <c r="O70" s="69">
        <f>Q41-P41+P46-Q46+P50-Q50</f>
        <v>0</v>
      </c>
      <c r="P70" s="681">
        <f>P36+3/10000000</f>
        <v>2.9999999999999999E-7</v>
      </c>
      <c r="Q70" s="682"/>
      <c r="R70" s="105"/>
      <c r="S70" s="86">
        <f t="shared" ref="S70:S72" si="18">RANK(V70,$V$69:$V$72)</f>
        <v>2</v>
      </c>
      <c r="T70" s="69" t="str">
        <f t="shared" ref="T70:T72" si="19">T36</f>
        <v>1er B</v>
      </c>
      <c r="U70" s="69">
        <f>W41-V41+V46-W46+V50-W50</f>
        <v>0</v>
      </c>
      <c r="V70" s="681">
        <f>V36+3/10000000</f>
        <v>2.9999999999999999E-7</v>
      </c>
      <c r="W70" s="682"/>
    </row>
    <row r="71" spans="1:23" ht="14.45" hidden="1" customHeight="1" x14ac:dyDescent="0.25">
      <c r="A71" s="86">
        <f t="shared" si="12"/>
        <v>3</v>
      </c>
      <c r="B71" s="69" t="str">
        <f t="shared" si="13"/>
        <v>4eme C</v>
      </c>
      <c r="C71" s="69">
        <f>D42-E42+E45-D45+E50-D50</f>
        <v>0</v>
      </c>
      <c r="D71" s="681">
        <f>D37+2/10000000</f>
        <v>1.9999999999999999E-7</v>
      </c>
      <c r="E71" s="682"/>
      <c r="F71" s="774"/>
      <c r="G71" s="86">
        <f t="shared" si="14"/>
        <v>3</v>
      </c>
      <c r="H71" s="69" t="str">
        <f t="shared" si="15"/>
        <v>3eme C</v>
      </c>
      <c r="I71" s="69">
        <f>J42-K42+K45-J45+K50-J50</f>
        <v>0</v>
      </c>
      <c r="J71" s="681">
        <f>J37+2/10000000</f>
        <v>1.9999999999999999E-7</v>
      </c>
      <c r="K71" s="682"/>
      <c r="L71" s="76"/>
      <c r="M71" s="86">
        <f t="shared" si="16"/>
        <v>3</v>
      </c>
      <c r="N71" s="69" t="str">
        <f t="shared" si="17"/>
        <v>2eme C</v>
      </c>
      <c r="O71" s="69">
        <f>P42-Q42+Q45-P45+Q50-P50</f>
        <v>0</v>
      </c>
      <c r="P71" s="681">
        <f>P37+2/10000000</f>
        <v>1.9999999999999999E-7</v>
      </c>
      <c r="Q71" s="682"/>
      <c r="R71" s="105"/>
      <c r="S71" s="86">
        <f t="shared" si="18"/>
        <v>3</v>
      </c>
      <c r="T71" s="69" t="str">
        <f t="shared" si="19"/>
        <v>1er C</v>
      </c>
      <c r="U71" s="69">
        <f>V42-W42+W45-V45+W50-V50</f>
        <v>0</v>
      </c>
      <c r="V71" s="681">
        <f>V37+2/10000000</f>
        <v>1.9999999999999999E-7</v>
      </c>
      <c r="W71" s="682"/>
    </row>
    <row r="72" spans="1:23" ht="14.45" hidden="1" customHeight="1" thickBot="1" x14ac:dyDescent="0.3">
      <c r="A72" s="87">
        <f t="shared" si="12"/>
        <v>4</v>
      </c>
      <c r="B72" s="88" t="str">
        <f t="shared" si="13"/>
        <v>4eme D</v>
      </c>
      <c r="C72" s="88">
        <f>E42-D42+E46-D46+E49-D49</f>
        <v>0</v>
      </c>
      <c r="D72" s="709">
        <f>D38+1/10000000</f>
        <v>9.9999999999999995E-8</v>
      </c>
      <c r="E72" s="710"/>
      <c r="F72" s="775"/>
      <c r="G72" s="87">
        <f t="shared" si="14"/>
        <v>4</v>
      </c>
      <c r="H72" s="88" t="str">
        <f t="shared" si="15"/>
        <v>3eme D</v>
      </c>
      <c r="I72" s="88">
        <f>K42-J42+K46-J46+K49-J49</f>
        <v>0</v>
      </c>
      <c r="J72" s="709">
        <f>J38+1/10000000</f>
        <v>9.9999999999999995E-8</v>
      </c>
      <c r="K72" s="710"/>
      <c r="L72" s="78"/>
      <c r="M72" s="87">
        <f t="shared" si="16"/>
        <v>4</v>
      </c>
      <c r="N72" s="88" t="str">
        <f t="shared" si="17"/>
        <v>2eme D</v>
      </c>
      <c r="O72" s="88">
        <f>Q42-P42+Q46-P46+Q49-P49</f>
        <v>0</v>
      </c>
      <c r="P72" s="709">
        <f>P38+1/10000000</f>
        <v>9.9999999999999995E-8</v>
      </c>
      <c r="Q72" s="710"/>
      <c r="R72" s="123"/>
      <c r="S72" s="87">
        <f t="shared" si="18"/>
        <v>4</v>
      </c>
      <c r="T72" s="88" t="str">
        <f t="shared" si="19"/>
        <v>1er D</v>
      </c>
      <c r="U72" s="88">
        <f>W42-V42+W46-V46+W49-V49</f>
        <v>0</v>
      </c>
      <c r="V72" s="709">
        <f>V38+1/10000000</f>
        <v>9.9999999999999995E-8</v>
      </c>
      <c r="W72" s="710"/>
    </row>
    <row r="73" spans="1:23" hidden="1" x14ac:dyDescent="0.25">
      <c r="A73" s="700"/>
      <c r="B73" s="700"/>
      <c r="C73" s="700"/>
      <c r="D73" s="700"/>
      <c r="E73" s="700"/>
      <c r="F73" s="700"/>
      <c r="G73" s="700"/>
      <c r="H73" s="700"/>
      <c r="I73" s="700"/>
      <c r="J73" s="700"/>
      <c r="K73" s="700"/>
      <c r="L73" s="700"/>
      <c r="M73" s="700"/>
      <c r="N73" s="700"/>
      <c r="O73" s="700"/>
      <c r="P73" s="700"/>
      <c r="Q73" s="700"/>
    </row>
    <row r="74" spans="1:23" hidden="1" x14ac:dyDescent="0.25">
      <c r="A74" s="1">
        <f>IF(D14="",0,(IF(D14&gt;E14,3,IF(D14=E14,1,0))))</f>
        <v>0</v>
      </c>
      <c r="B74" s="1">
        <f>IF(E14="",0,(IF(E14&gt;D14,3,IF(E14=D14,1,0))))</f>
        <v>0</v>
      </c>
      <c r="G74" s="1">
        <f>IF(J14="",0,(IF(J14&gt;K14,3,IF(J14=K14,1,0))))</f>
        <v>0</v>
      </c>
      <c r="H74" s="1">
        <f>IF(K14="",0,(IF(K14&gt;J14,3,IF(K14=J14,1,0))))</f>
        <v>0</v>
      </c>
      <c r="M74" s="1">
        <f>IF(P14="",0,(IF(P14&gt;Q14,3,IF(P14=Q14,1,0))))</f>
        <v>0</v>
      </c>
      <c r="N74" s="1">
        <f>IF(Q14="",0,(IF(Q14&gt;P14,3,IF(Q14=P14,1,0))))</f>
        <v>0</v>
      </c>
      <c r="S74" s="1">
        <f>IF(V14="",0,(IF(V14&gt;W14,3,IF(V14=W14,1,0))))</f>
        <v>0</v>
      </c>
      <c r="T74" s="1">
        <f>IF(W14="",0,(IF(W14&gt;V14,3,IF(W14=V14,1,0))))</f>
        <v>0</v>
      </c>
    </row>
    <row r="75" spans="1:23" hidden="1" x14ac:dyDescent="0.25">
      <c r="A75" s="1">
        <f>IF(D15="",0,(IF(D15&gt;E15,3,IF(D15=E15,1,0))))</f>
        <v>0</v>
      </c>
      <c r="B75" s="1">
        <f>IF(E15="",0,(IF(E15&gt;D15,3,IF(E15=D15,1,0))))</f>
        <v>0</v>
      </c>
      <c r="G75" s="1">
        <f>IF(J15="",0,(IF(J15&gt;K15,3,IF(J15=K15,1,0))))</f>
        <v>0</v>
      </c>
      <c r="H75" s="1">
        <f>IF(K15="",0,(IF(K15&gt;J15,3,IF(K15=J15,1,0))))</f>
        <v>0</v>
      </c>
      <c r="M75" s="1">
        <f>IF(P15="",0,(IF(P15&gt;Q15,3,IF(P15=Q15,1,0))))</f>
        <v>0</v>
      </c>
      <c r="N75" s="1">
        <f>IF(Q15="",0,(IF(Q15&gt;P15,3,IF(Q15=P15,1,0))))</f>
        <v>0</v>
      </c>
      <c r="S75" s="1">
        <f>IF(V15="",0,(IF(V15&gt;W15,3,IF(V15=W15,1,0))))</f>
        <v>0</v>
      </c>
      <c r="T75" s="1">
        <f>IF(W15="",0,(IF(W15&gt;V15,3,IF(W15=V15,1,0))))</f>
        <v>0</v>
      </c>
    </row>
    <row r="76" spans="1:23" hidden="1" x14ac:dyDescent="0.25"/>
    <row r="77" spans="1:23" hidden="1" x14ac:dyDescent="0.25"/>
    <row r="78" spans="1:23" hidden="1" x14ac:dyDescent="0.25">
      <c r="A78" s="1">
        <f>IF(D18="",0,(IF(D18&gt;E18,3,IF(D18=E18,1,0))))</f>
        <v>0</v>
      </c>
      <c r="B78" s="1">
        <f>IF(E18="",0,(IF(E18&gt;D18,3,IF(E18=D18,1,0))))</f>
        <v>0</v>
      </c>
      <c r="G78" s="1">
        <f>IF(J18="",0,(IF(J18&gt;K18,3,IF(J18=K18,1,0))))</f>
        <v>0</v>
      </c>
      <c r="H78" s="1">
        <f>IF(K18="",0,(IF(K18&gt;J18,3,IF(K18=J18,1,0))))</f>
        <v>0</v>
      </c>
      <c r="M78" s="1">
        <f>IF(P18="",0,(IF(P18&gt;Q18,3,IF(P18=Q18,1,0))))</f>
        <v>0</v>
      </c>
      <c r="N78" s="1">
        <f>IF(Q18="",0,(IF(Q18&gt;P18,3,IF(Q18=P18,1,0))))</f>
        <v>0</v>
      </c>
      <c r="S78" s="1">
        <f>IF(V18="",0,(IF(V18&gt;W18,3,IF(V18=W18,1,0))))</f>
        <v>0</v>
      </c>
      <c r="T78" s="1">
        <f>IF(W18="",0,(IF(W18&gt;V18,3,IF(W18=V18,1,0))))</f>
        <v>0</v>
      </c>
    </row>
    <row r="79" spans="1:23" hidden="1" x14ac:dyDescent="0.25">
      <c r="A79" s="1">
        <f>IF(D19="",0,(IF(D19&gt;E19,3,IF(D19=E19,1,0))))</f>
        <v>0</v>
      </c>
      <c r="B79" s="1">
        <f>IF(E19="",0,(IF(E19&gt;D19,3,IF(E19=D19,1,0))))</f>
        <v>0</v>
      </c>
      <c r="G79" s="1">
        <f>IF(J19="",0,(IF(J19&gt;K19,3,IF(J19=K19,1,0))))</f>
        <v>0</v>
      </c>
      <c r="H79" s="1">
        <f>IF(K19="",0,(IF(K19&gt;J19,3,IF(K19=J19,1,0))))</f>
        <v>0</v>
      </c>
      <c r="M79" s="1">
        <f>IF(P19="",0,(IF(P19&gt;Q19,3,IF(P19=Q19,1,0))))</f>
        <v>0</v>
      </c>
      <c r="N79" s="1">
        <f>IF(Q19="",0,(IF(Q19&gt;P19,3,IF(Q19=P19,1,0))))</f>
        <v>0</v>
      </c>
      <c r="S79" s="1">
        <f>IF(V19="",0,(IF(V19&gt;W19,3,IF(V19=W19,1,0))))</f>
        <v>0</v>
      </c>
      <c r="T79" s="1">
        <f>IF(W19="",0,(IF(W19&gt;V19,3,IF(W19=V19,1,0))))</f>
        <v>0</v>
      </c>
    </row>
    <row r="80" spans="1:23" hidden="1" x14ac:dyDescent="0.25"/>
    <row r="81" spans="1:20" hidden="1" x14ac:dyDescent="0.25"/>
    <row r="82" spans="1:20" hidden="1" x14ac:dyDescent="0.25">
      <c r="A82" s="1">
        <f>IF(D22="",0,(IF(D22&gt;E22,3,IF(D22=E22,1,0))))</f>
        <v>0</v>
      </c>
      <c r="B82" s="1">
        <f>IF(E22="",0,(IF(E22&gt;D22,3,IF(E22=D22,1,0))))</f>
        <v>0</v>
      </c>
      <c r="G82" s="1">
        <f>IF(J22="",0,(IF(J22&gt;K22,3,IF(J22=K22,1,0))))</f>
        <v>0</v>
      </c>
      <c r="H82" s="1">
        <f>IF(K22="",0,(IF(K22&gt;J22,3,IF(K22=J22,1,0))))</f>
        <v>0</v>
      </c>
      <c r="M82" s="1">
        <f>IF(P22="",0,(IF(P22&gt;Q22,3,IF(P22=Q22,1,0))))</f>
        <v>0</v>
      </c>
      <c r="N82" s="1">
        <f>IF(Q22="",0,(IF(Q22&gt;P22,3,IF(Q22=P22,1,0))))</f>
        <v>0</v>
      </c>
      <c r="S82" s="1">
        <f>IF(V22="",0,(IF(V22&gt;W22,3,IF(V22=W22,1,0))))</f>
        <v>0</v>
      </c>
      <c r="T82" s="1">
        <f>IF(W22="",0,(IF(W22&gt;V22,3,IF(W22=V22,1,0))))</f>
        <v>0</v>
      </c>
    </row>
    <row r="83" spans="1:20" hidden="1" x14ac:dyDescent="0.25">
      <c r="A83" s="1">
        <f>IF(D23="",0,(IF(D23&gt;E23,3,IF(D23=E23,1,0))))</f>
        <v>0</v>
      </c>
      <c r="B83" s="1">
        <f>IF(E23="",0,(IF(E23&gt;D23,3,IF(E23=D23,1,0))))</f>
        <v>0</v>
      </c>
      <c r="G83" s="1">
        <f>IF(J23="",0,(IF(J23&gt;K23,3,IF(J23=K23,1,0))))</f>
        <v>0</v>
      </c>
      <c r="H83" s="1">
        <f>IF(K23="",0,(IF(K23&gt;J23,3,IF(K23=J23,1,0))))</f>
        <v>0</v>
      </c>
      <c r="M83" s="1">
        <f>IF(P23="",0,(IF(P23&gt;Q23,3,IF(P23=Q23,1,0))))</f>
        <v>0</v>
      </c>
      <c r="N83" s="1">
        <f>IF(Q23="",0,(IF(Q23&gt;P23,3,IF(Q23=P23,1,0))))</f>
        <v>0</v>
      </c>
      <c r="S83" s="1">
        <f>IF(V23="",0,(IF(V23&gt;W23,3,IF(V23=W23,1,0))))</f>
        <v>0</v>
      </c>
      <c r="T83" s="1">
        <f>IF(W23="",0,(IF(W23&gt;V23,3,IF(W23=V23,1,0))))</f>
        <v>0</v>
      </c>
    </row>
    <row r="84" spans="1:20" hidden="1" x14ac:dyDescent="0.25"/>
    <row r="85" spans="1:20" hidden="1" x14ac:dyDescent="0.25"/>
    <row r="86" spans="1:20" hidden="1" x14ac:dyDescent="0.25"/>
    <row r="87" spans="1:20" hidden="1" x14ac:dyDescent="0.25"/>
    <row r="88" spans="1:20" hidden="1" x14ac:dyDescent="0.25"/>
    <row r="89" spans="1:20" hidden="1" x14ac:dyDescent="0.25"/>
    <row r="90" spans="1:20" hidden="1" x14ac:dyDescent="0.25"/>
    <row r="91" spans="1:20" hidden="1" x14ac:dyDescent="0.25"/>
    <row r="92" spans="1:20" hidden="1" x14ac:dyDescent="0.25"/>
    <row r="93" spans="1:20" hidden="1" x14ac:dyDescent="0.25"/>
    <row r="94" spans="1:20" hidden="1" x14ac:dyDescent="0.25"/>
    <row r="95" spans="1:20" hidden="1" x14ac:dyDescent="0.25"/>
    <row r="96" spans="1:20" hidden="1" x14ac:dyDescent="0.25"/>
    <row r="97" spans="1:20" hidden="1" x14ac:dyDescent="0.25"/>
    <row r="98" spans="1:20" hidden="1" x14ac:dyDescent="0.25"/>
    <row r="99" spans="1:20" hidden="1" x14ac:dyDescent="0.25"/>
    <row r="100" spans="1:20" hidden="1" x14ac:dyDescent="0.25">
      <c r="A100" s="1">
        <f>IF(D41="",0,(IF(D41&gt;E41,3,IF(D41=E41,1,0))))</f>
        <v>0</v>
      </c>
      <c r="B100" s="1">
        <f>IF(E41="",0,(IF(E41&gt;D41,3,IF(E41=D41,1,0))))</f>
        <v>0</v>
      </c>
      <c r="G100" s="1">
        <f>IF(J41="",0,(IF(J41&gt;K41,3,IF(J41=K41,1,0))))</f>
        <v>0</v>
      </c>
      <c r="H100" s="1">
        <f>IF(K41="",0,(IF(K41&gt;J41,3,IF(K41=J41,1,0))))</f>
        <v>0</v>
      </c>
      <c r="M100" s="1">
        <f>IF(P41="",0,(IF(P41&gt;Q41,3,IF(P41=Q41,1,0))))</f>
        <v>0</v>
      </c>
      <c r="N100" s="1">
        <f>IF(Q41="",0,(IF(Q41&gt;P41,3,IF(Q41=P41,1,0))))</f>
        <v>0</v>
      </c>
      <c r="S100" s="1">
        <f>IF(V41="",0,(IF(V41&gt;W41,3,IF(V41=W41,1,0))))</f>
        <v>0</v>
      </c>
      <c r="T100" s="1">
        <f>IF(W41="",0,(IF(W41&gt;V41,3,IF(W41=V41,1,0))))</f>
        <v>0</v>
      </c>
    </row>
    <row r="101" spans="1:20" hidden="1" x14ac:dyDescent="0.25">
      <c r="A101" s="1">
        <f>IF(D42="",0,(IF(D42&gt;E42,3,IF(D42=E42,1,0))))</f>
        <v>0</v>
      </c>
      <c r="B101" s="1">
        <f>IF(E42="",0,(IF(E42&gt;D42,3,IF(E42=D42,1,0))))</f>
        <v>0</v>
      </c>
      <c r="G101" s="1">
        <f>IF(J42="",0,(IF(J42&gt;K42,3,IF(J42=K42,1,0))))</f>
        <v>0</v>
      </c>
      <c r="H101" s="1">
        <f>IF(K42="",0,(IF(K42&gt;J42,3,IF(K42=J42,1,0))))</f>
        <v>0</v>
      </c>
      <c r="M101" s="1">
        <f>IF(P42="",0,(IF(P42&gt;Q42,3,IF(P42=Q42,1,0))))</f>
        <v>0</v>
      </c>
      <c r="N101" s="1">
        <f>IF(Q42="",0,(IF(Q42&gt;P42,3,IF(Q42=P42,1,0))))</f>
        <v>0</v>
      </c>
      <c r="S101" s="1">
        <f>IF(V42="",0,(IF(V42&gt;W42,3,IF(V42=W42,1,0))))</f>
        <v>0</v>
      </c>
      <c r="T101" s="1">
        <f>IF(W42="",0,(IF(W42&gt;V42,3,IF(W42=V42,1,0))))</f>
        <v>0</v>
      </c>
    </row>
    <row r="102" spans="1:20" hidden="1" x14ac:dyDescent="0.25"/>
    <row r="103" spans="1:20" hidden="1" x14ac:dyDescent="0.25"/>
    <row r="104" spans="1:20" hidden="1" x14ac:dyDescent="0.25">
      <c r="A104" s="1">
        <f>IF(D45="",0,(IF(D45&gt;E45,3,IF(D45=E45,1,0))))</f>
        <v>0</v>
      </c>
      <c r="B104" s="1">
        <f>IF(E45="",0,(IF(E45&gt;D45,3,IF(E45=D45,1,0))))</f>
        <v>0</v>
      </c>
      <c r="G104" s="1">
        <f>IF(J45="",0,(IF(J45&gt;K45,3,IF(J45=K45,1,0))))</f>
        <v>0</v>
      </c>
      <c r="H104" s="1">
        <f>IF(K45="",0,(IF(K45&gt;J45,3,IF(K45=J45,1,0))))</f>
        <v>0</v>
      </c>
      <c r="M104" s="1">
        <f>IF(P45="",0,(IF(P45&gt;Q45,3,IF(P45=Q45,1,0))))</f>
        <v>0</v>
      </c>
      <c r="N104" s="1">
        <f>IF(Q45="",0,(IF(Q45&gt;P45,3,IF(Q45=P45,1,0))))</f>
        <v>0</v>
      </c>
      <c r="S104" s="1">
        <f>IF(V45="",0,(IF(V45&gt;W45,3,IF(V45=W45,1,0))))</f>
        <v>0</v>
      </c>
      <c r="T104" s="1">
        <f>IF(W45="",0,(IF(W45&gt;V45,3,IF(W45=V45,1,0))))</f>
        <v>0</v>
      </c>
    </row>
    <row r="105" spans="1:20" hidden="1" x14ac:dyDescent="0.25">
      <c r="A105" s="1">
        <f>IF(D46="",0,(IF(D46&gt;E46,3,IF(D46=E46,1,0))))</f>
        <v>0</v>
      </c>
      <c r="B105" s="1">
        <f>IF(E46="",0,(IF(E46&gt;D46,3,IF(E46=D46,1,0))))</f>
        <v>0</v>
      </c>
      <c r="G105" s="1">
        <f>IF(J46="",0,(IF(J46&gt;K46,3,IF(J46=K46,1,0))))</f>
        <v>0</v>
      </c>
      <c r="H105" s="1">
        <f>IF(K46="",0,(IF(K46&gt;J46,3,IF(K46=J46,1,0))))</f>
        <v>0</v>
      </c>
      <c r="M105" s="1">
        <f>IF(P46="",0,(IF(P46&gt;Q46,3,IF(P46=Q46,1,0))))</f>
        <v>0</v>
      </c>
      <c r="N105" s="1">
        <f>IF(Q46="",0,(IF(Q46&gt;P46,3,IF(Q46=P46,1,0))))</f>
        <v>0</v>
      </c>
      <c r="S105" s="1">
        <f>IF(V46="",0,(IF(V46&gt;W46,3,IF(V46=W46,1,0))))</f>
        <v>0</v>
      </c>
      <c r="T105" s="1">
        <f>IF(W46="",0,(IF(W46&gt;V46,3,IF(W46=V46,1,0))))</f>
        <v>0</v>
      </c>
    </row>
    <row r="106" spans="1:20" hidden="1" x14ac:dyDescent="0.25"/>
    <row r="107" spans="1:20" hidden="1" x14ac:dyDescent="0.25"/>
    <row r="108" spans="1:20" hidden="1" x14ac:dyDescent="0.25">
      <c r="A108" s="1">
        <f>IF(D49="",0,(IF(D49&gt;E49,3,IF(D49=E49,1,0))))</f>
        <v>0</v>
      </c>
      <c r="B108" s="1">
        <f>IF(E49="",0,(IF(E49&gt;D49,3,IF(E49=D49,1,0))))</f>
        <v>0</v>
      </c>
      <c r="G108" s="1">
        <f>IF(J49="",0,(IF(J49&gt;K49,3,IF(J49=K49,1,0))))</f>
        <v>0</v>
      </c>
      <c r="H108" s="1">
        <f>IF(K49="",0,(IF(K49&gt;J49,3,IF(K49=J49,1,0))))</f>
        <v>0</v>
      </c>
      <c r="M108" s="1">
        <f>IF(P49="",0,(IF(P49&gt;Q49,3,IF(P49=Q49,1,0))))</f>
        <v>0</v>
      </c>
      <c r="N108" s="1">
        <f>IF(Q49="",0,(IF(Q49&gt;P49,3,IF(Q49=P49,1,0))))</f>
        <v>0</v>
      </c>
      <c r="S108" s="1">
        <f>IF(V49="",0,(IF(V49&gt;W49,3,IF(V49=W49,1,0))))</f>
        <v>0</v>
      </c>
      <c r="T108" s="1">
        <f>IF(W49="",0,(IF(W49&gt;V49,3,IF(W49=V49,1,0))))</f>
        <v>0</v>
      </c>
    </row>
    <row r="109" spans="1:20" hidden="1" x14ac:dyDescent="0.25">
      <c r="A109" s="1">
        <f>IF(D50="",0,(IF(D50&gt;E50,3,IF(D50=E50,1,0))))</f>
        <v>0</v>
      </c>
      <c r="B109" s="1">
        <f>IF(E50="",0,(IF(E50&gt;D50,3,IF(E50=D50,1,0))))</f>
        <v>0</v>
      </c>
      <c r="G109" s="1">
        <f>IF(J50="",0,(IF(J50&gt;K50,3,IF(J50=K50,1,0))))</f>
        <v>0</v>
      </c>
      <c r="H109" s="1">
        <f>IF(K50="",0,(IF(K50&gt;J50,3,IF(K50=J50,1,0))))</f>
        <v>0</v>
      </c>
      <c r="M109" s="1">
        <f>IF(P50="",0,(IF(P50&gt;Q50,3,IF(P50=Q50,1,0))))</f>
        <v>0</v>
      </c>
      <c r="N109" s="1">
        <f>IF(Q50="",0,(IF(Q50&gt;P50,3,IF(Q50=P50,1,0))))</f>
        <v>0</v>
      </c>
      <c r="S109" s="1">
        <f>IF(V50="",0,(IF(V50&gt;W50,3,IF(V50=W50,1,0))))</f>
        <v>0</v>
      </c>
      <c r="T109" s="1">
        <f>IF(W50="",0,(IF(W50&gt;V50,3,IF(W50=V50,1,0))))</f>
        <v>0</v>
      </c>
    </row>
    <row r="110" spans="1:20" hidden="1" x14ac:dyDescent="0.25"/>
    <row r="111" spans="1:20" hidden="1" x14ac:dyDescent="0.25"/>
  </sheetData>
  <sheetProtection sheet="1" scenarios="1" selectLockedCells="1"/>
  <mergeCells count="280">
    <mergeCell ref="P71:Q71"/>
    <mergeCell ref="V71:W71"/>
    <mergeCell ref="A31:W31"/>
    <mergeCell ref="A58:W58"/>
    <mergeCell ref="V53:W53"/>
    <mergeCell ref="B54:C54"/>
    <mergeCell ref="D54:E54"/>
    <mergeCell ref="H54:I54"/>
    <mergeCell ref="J54:K54"/>
    <mergeCell ref="N54:O54"/>
    <mergeCell ref="P54:Q54"/>
    <mergeCell ref="T54:U54"/>
    <mergeCell ref="V54:W54"/>
    <mergeCell ref="T48:U48"/>
    <mergeCell ref="V48:W48"/>
    <mergeCell ref="A52:W52"/>
    <mergeCell ref="B53:C53"/>
    <mergeCell ref="D53:E53"/>
    <mergeCell ref="H53:I53"/>
    <mergeCell ref="J53:K53"/>
    <mergeCell ref="N53:O53"/>
    <mergeCell ref="P53:Q53"/>
    <mergeCell ref="T53:U53"/>
    <mergeCell ref="B48:C48"/>
    <mergeCell ref="D48:E48"/>
    <mergeCell ref="H48:I48"/>
    <mergeCell ref="J48:K48"/>
    <mergeCell ref="N48:O48"/>
    <mergeCell ref="P48:Q48"/>
    <mergeCell ref="T40:U40"/>
    <mergeCell ref="V40:W40"/>
    <mergeCell ref="B44:C44"/>
    <mergeCell ref="D44:E44"/>
    <mergeCell ref="H44:I44"/>
    <mergeCell ref="J44:K44"/>
    <mergeCell ref="N44:O44"/>
    <mergeCell ref="P44:Q44"/>
    <mergeCell ref="T44:U44"/>
    <mergeCell ref="V44:W44"/>
    <mergeCell ref="N38:O38"/>
    <mergeCell ref="P38:Q38"/>
    <mergeCell ref="T38:U38"/>
    <mergeCell ref="V38:W38"/>
    <mergeCell ref="B40:C40"/>
    <mergeCell ref="D40:E40"/>
    <mergeCell ref="H40:I40"/>
    <mergeCell ref="J40:K40"/>
    <mergeCell ref="N40:O40"/>
    <mergeCell ref="P40:Q40"/>
    <mergeCell ref="V30:W30"/>
    <mergeCell ref="A25:W25"/>
    <mergeCell ref="A61:W61"/>
    <mergeCell ref="O6:W6"/>
    <mergeCell ref="O33:W33"/>
    <mergeCell ref="B38:C38"/>
    <mergeCell ref="D38:E38"/>
    <mergeCell ref="H38:I38"/>
    <mergeCell ref="J38:K38"/>
    <mergeCell ref="P30:Q30"/>
    <mergeCell ref="T26:U26"/>
    <mergeCell ref="V26:W26"/>
    <mergeCell ref="T27:U27"/>
    <mergeCell ref="V27:W27"/>
    <mergeCell ref="T28:U28"/>
    <mergeCell ref="V28:W28"/>
    <mergeCell ref="T29:U29"/>
    <mergeCell ref="V29:W29"/>
    <mergeCell ref="T30:U30"/>
    <mergeCell ref="J30:K30"/>
    <mergeCell ref="N26:O26"/>
    <mergeCell ref="P26:Q26"/>
    <mergeCell ref="N27:O27"/>
    <mergeCell ref="P27:Q27"/>
    <mergeCell ref="N28:O28"/>
    <mergeCell ref="P28:Q28"/>
    <mergeCell ref="N29:O29"/>
    <mergeCell ref="P29:Q29"/>
    <mergeCell ref="N30:O30"/>
    <mergeCell ref="D30:E30"/>
    <mergeCell ref="H26:I26"/>
    <mergeCell ref="J26:K26"/>
    <mergeCell ref="H27:I27"/>
    <mergeCell ref="J27:K27"/>
    <mergeCell ref="H28:I28"/>
    <mergeCell ref="J28:K28"/>
    <mergeCell ref="H29:I29"/>
    <mergeCell ref="J29:K29"/>
    <mergeCell ref="H30:I30"/>
    <mergeCell ref="V68:W68"/>
    <mergeCell ref="D69:E69"/>
    <mergeCell ref="J69:K69"/>
    <mergeCell ref="P69:Q69"/>
    <mergeCell ref="V69:W69"/>
    <mergeCell ref="A73:Q73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70:E70"/>
    <mergeCell ref="J70:K70"/>
    <mergeCell ref="P70:Q70"/>
    <mergeCell ref="D66:E66"/>
    <mergeCell ref="J66:K66"/>
    <mergeCell ref="P66:Q66"/>
    <mergeCell ref="P62:Q62"/>
    <mergeCell ref="A33:H33"/>
    <mergeCell ref="J33:L33"/>
    <mergeCell ref="A67:W67"/>
    <mergeCell ref="B68:C68"/>
    <mergeCell ref="D68:E68"/>
    <mergeCell ref="F68:F72"/>
    <mergeCell ref="H68:I68"/>
    <mergeCell ref="J68:K68"/>
    <mergeCell ref="D64:E64"/>
    <mergeCell ref="J64:K64"/>
    <mergeCell ref="P64:Q64"/>
    <mergeCell ref="V64:W64"/>
    <mergeCell ref="D65:E65"/>
    <mergeCell ref="J65:K65"/>
    <mergeCell ref="P65:Q65"/>
    <mergeCell ref="V65:W65"/>
    <mergeCell ref="V70:W70"/>
    <mergeCell ref="D72:E72"/>
    <mergeCell ref="J72:K72"/>
    <mergeCell ref="P72:Q72"/>
    <mergeCell ref="V72:W72"/>
    <mergeCell ref="D71:E71"/>
    <mergeCell ref="J71:K71"/>
    <mergeCell ref="N68:O68"/>
    <mergeCell ref="P68:Q68"/>
    <mergeCell ref="T68:U68"/>
    <mergeCell ref="T62:U62"/>
    <mergeCell ref="V62:W62"/>
    <mergeCell ref="D63:E63"/>
    <mergeCell ref="J63:K63"/>
    <mergeCell ref="P63:Q63"/>
    <mergeCell ref="V63:W63"/>
    <mergeCell ref="T57:U57"/>
    <mergeCell ref="V57:W57"/>
    <mergeCell ref="A59:W59"/>
    <mergeCell ref="B62:C62"/>
    <mergeCell ref="D62:E62"/>
    <mergeCell ref="F62:F66"/>
    <mergeCell ref="H62:I62"/>
    <mergeCell ref="J62:K62"/>
    <mergeCell ref="N62:O62"/>
    <mergeCell ref="B57:C57"/>
    <mergeCell ref="D57:E57"/>
    <mergeCell ref="H57:I57"/>
    <mergeCell ref="J57:K57"/>
    <mergeCell ref="N57:O57"/>
    <mergeCell ref="P57:Q57"/>
    <mergeCell ref="V66:W66"/>
    <mergeCell ref="T56:U56"/>
    <mergeCell ref="V56:W56"/>
    <mergeCell ref="P55:Q55"/>
    <mergeCell ref="T55:U55"/>
    <mergeCell ref="V55:W55"/>
    <mergeCell ref="B56:C56"/>
    <mergeCell ref="D56:E56"/>
    <mergeCell ref="H56:I56"/>
    <mergeCell ref="J56:K56"/>
    <mergeCell ref="N56:O56"/>
    <mergeCell ref="P56:Q56"/>
    <mergeCell ref="B55:C55"/>
    <mergeCell ref="D55:E55"/>
    <mergeCell ref="H55:I55"/>
    <mergeCell ref="J55:K55"/>
    <mergeCell ref="N55:O55"/>
    <mergeCell ref="T36:U36"/>
    <mergeCell ref="V36:W36"/>
    <mergeCell ref="B37:C37"/>
    <mergeCell ref="D37:E37"/>
    <mergeCell ref="H37:I37"/>
    <mergeCell ref="J37:K37"/>
    <mergeCell ref="N37:O37"/>
    <mergeCell ref="P37:Q37"/>
    <mergeCell ref="T37:U37"/>
    <mergeCell ref="V37:W37"/>
    <mergeCell ref="B36:C36"/>
    <mergeCell ref="D36:E36"/>
    <mergeCell ref="H36:I36"/>
    <mergeCell ref="J36:K36"/>
    <mergeCell ref="N36:O36"/>
    <mergeCell ref="P36:Q36"/>
    <mergeCell ref="V34:W34"/>
    <mergeCell ref="B35:C35"/>
    <mergeCell ref="D35:E35"/>
    <mergeCell ref="H35:I35"/>
    <mergeCell ref="J35:K35"/>
    <mergeCell ref="N35:O35"/>
    <mergeCell ref="P35:Q35"/>
    <mergeCell ref="T35:U35"/>
    <mergeCell ref="V35:W35"/>
    <mergeCell ref="B34:C34"/>
    <mergeCell ref="D34:E34"/>
    <mergeCell ref="H34:I34"/>
    <mergeCell ref="J34:K34"/>
    <mergeCell ref="N34:O34"/>
    <mergeCell ref="P34:Q34"/>
    <mergeCell ref="T34:U34"/>
    <mergeCell ref="T21:U21"/>
    <mergeCell ref="V21:W21"/>
    <mergeCell ref="B21:C21"/>
    <mergeCell ref="D21:E21"/>
    <mergeCell ref="H21:I21"/>
    <mergeCell ref="J21:K21"/>
    <mergeCell ref="N21:O21"/>
    <mergeCell ref="P21:Q21"/>
    <mergeCell ref="T17:U17"/>
    <mergeCell ref="V17:W17"/>
    <mergeCell ref="B17:C17"/>
    <mergeCell ref="D17:E17"/>
    <mergeCell ref="H17:I17"/>
    <mergeCell ref="J17:K17"/>
    <mergeCell ref="N17:O17"/>
    <mergeCell ref="P17:Q17"/>
    <mergeCell ref="T11:U11"/>
    <mergeCell ref="V11:W11"/>
    <mergeCell ref="B13:C13"/>
    <mergeCell ref="D13:E13"/>
    <mergeCell ref="H13:I13"/>
    <mergeCell ref="J13:K13"/>
    <mergeCell ref="N13:O13"/>
    <mergeCell ref="P13:Q13"/>
    <mergeCell ref="T13:U13"/>
    <mergeCell ref="V13:W13"/>
    <mergeCell ref="B11:C11"/>
    <mergeCell ref="D11:E11"/>
    <mergeCell ref="H11:I11"/>
    <mergeCell ref="J11:K11"/>
    <mergeCell ref="N11:O11"/>
    <mergeCell ref="P11:Q11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B8:C8"/>
    <mergeCell ref="D8:E8"/>
    <mergeCell ref="H8:I8"/>
    <mergeCell ref="J8:K8"/>
    <mergeCell ref="N8:O8"/>
    <mergeCell ref="P8:Q8"/>
    <mergeCell ref="T8:U8"/>
    <mergeCell ref="V8:W8"/>
    <mergeCell ref="T9:U9"/>
    <mergeCell ref="V9:W9"/>
    <mergeCell ref="U1:W5"/>
    <mergeCell ref="A6:H6"/>
    <mergeCell ref="J6:L6"/>
    <mergeCell ref="B7:C7"/>
    <mergeCell ref="D7:E7"/>
    <mergeCell ref="H7:I7"/>
    <mergeCell ref="J7:K7"/>
    <mergeCell ref="N7:O7"/>
    <mergeCell ref="P7:Q7"/>
    <mergeCell ref="A3:I3"/>
    <mergeCell ref="E4:G4"/>
    <mergeCell ref="I4:K4"/>
    <mergeCell ref="L4:M4"/>
    <mergeCell ref="E5:G5"/>
    <mergeCell ref="L5:M5"/>
    <mergeCell ref="A1:T1"/>
    <mergeCell ref="T7:U7"/>
    <mergeCell ref="V7:W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68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33</vt:i4>
      </vt:variant>
      <vt:variant>
        <vt:lpstr>Plages nommées</vt:lpstr>
      </vt:variant>
      <vt:variant>
        <vt:i4>34</vt:i4>
      </vt:variant>
    </vt:vector>
  </HeadingPairs>
  <TitlesOfParts>
    <vt:vector size="67" baseType="lpstr">
      <vt:lpstr>Organisation</vt:lpstr>
      <vt:lpstr>CC Futsal</vt:lpstr>
      <vt:lpstr>CC Ext</vt:lpstr>
      <vt:lpstr>8 Equipes - Eliminatoire</vt:lpstr>
      <vt:lpstr>16 Equipes - Eliminatoire</vt:lpstr>
      <vt:lpstr>U11 U13 - 8 Equipes</vt:lpstr>
      <vt:lpstr>U11 U13 - 10 Equipes</vt:lpstr>
      <vt:lpstr>U11 U13 - 12 Equipes</vt:lpstr>
      <vt:lpstr>U11 U13 - 16 Equipes</vt:lpstr>
      <vt:lpstr>U9 - 8 Equipes</vt:lpstr>
      <vt:lpstr>U9 - 10 Equipes</vt:lpstr>
      <vt:lpstr>U9 - 12 Equipes</vt:lpstr>
      <vt:lpstr>U7-U9 - 8 Equipes</vt:lpstr>
      <vt:lpstr>U7-U9 - 10 Equipes</vt:lpstr>
      <vt:lpstr>U7-U9 - 12 Equipes</vt:lpstr>
      <vt:lpstr>U7-U9 - 16 Equipes</vt:lpstr>
      <vt:lpstr>U7-U9 - 24 Equipes</vt:lpstr>
      <vt:lpstr>U9 - 16 Equipes</vt:lpstr>
      <vt:lpstr>8 Eq - Eliminatoire</vt:lpstr>
      <vt:lpstr>8Eq - U11 U13</vt:lpstr>
      <vt:lpstr>12 Eq - U11</vt:lpstr>
      <vt:lpstr>16 Eq - U13</vt:lpstr>
      <vt:lpstr>16 Eq - U11</vt:lpstr>
      <vt:lpstr>16 Eq - U9</vt:lpstr>
      <vt:lpstr>16 Eq - U7</vt:lpstr>
      <vt:lpstr>24 Eq - U13</vt:lpstr>
      <vt:lpstr>24 Eq - U9</vt:lpstr>
      <vt:lpstr>24 Eq - U7</vt:lpstr>
      <vt:lpstr>32 Eq - U13</vt:lpstr>
      <vt:lpstr>32 Eq - U11</vt:lpstr>
      <vt:lpstr>32 Eq - U9</vt:lpstr>
      <vt:lpstr>32 Eq - U9 (4t)</vt:lpstr>
      <vt:lpstr>32 Eq - U7</vt:lpstr>
      <vt:lpstr>TOURNOI_FUTSAL_A_8_EQUIPES___A_PARTIR_DE_U13</vt:lpstr>
      <vt:lpstr>'12 Eq - U11'!Zone_d_impression</vt:lpstr>
      <vt:lpstr>'16 Eq - U11'!Zone_d_impression</vt:lpstr>
      <vt:lpstr>'16 Eq - U13'!Zone_d_impression</vt:lpstr>
      <vt:lpstr>'16 Eq - U7'!Zone_d_impression</vt:lpstr>
      <vt:lpstr>'16 Eq - U9'!Zone_d_impression</vt:lpstr>
      <vt:lpstr>'16 Equipes - Eliminatoire'!Zone_d_impression</vt:lpstr>
      <vt:lpstr>'24 Eq - U13'!Zone_d_impression</vt:lpstr>
      <vt:lpstr>'24 Eq - U7'!Zone_d_impression</vt:lpstr>
      <vt:lpstr>'24 Eq - U9'!Zone_d_impression</vt:lpstr>
      <vt:lpstr>'32 Eq - U11'!Zone_d_impression</vt:lpstr>
      <vt:lpstr>'32 Eq - U13'!Zone_d_impression</vt:lpstr>
      <vt:lpstr>'32 Eq - U7'!Zone_d_impression</vt:lpstr>
      <vt:lpstr>'32 Eq - U9'!Zone_d_impression</vt:lpstr>
      <vt:lpstr>'32 Eq - U9 (4t)'!Zone_d_impression</vt:lpstr>
      <vt:lpstr>'8 Eq - Eliminatoire'!Zone_d_impression</vt:lpstr>
      <vt:lpstr>'8 Equipes - Eliminatoire'!Zone_d_impression</vt:lpstr>
      <vt:lpstr>'8Eq - U11 U13'!Zone_d_impression</vt:lpstr>
      <vt:lpstr>'CC Ext'!Zone_d_impression</vt:lpstr>
      <vt:lpstr>'CC Futsal'!Zone_d_impression</vt:lpstr>
      <vt:lpstr>Organisation!Zone_d_impression</vt:lpstr>
      <vt:lpstr>'U11 U13 - 10 Equipes'!Zone_d_impression</vt:lpstr>
      <vt:lpstr>'U11 U13 - 12 Equipes'!Zone_d_impression</vt:lpstr>
      <vt:lpstr>'U11 U13 - 16 Equipes'!Zone_d_impression</vt:lpstr>
      <vt:lpstr>'U11 U13 - 8 Equipes'!Zone_d_impression</vt:lpstr>
      <vt:lpstr>'U7-U9 - 10 Equipes'!Zone_d_impression</vt:lpstr>
      <vt:lpstr>'U7-U9 - 12 Equipes'!Zone_d_impression</vt:lpstr>
      <vt:lpstr>'U7-U9 - 16 Equipes'!Zone_d_impression</vt:lpstr>
      <vt:lpstr>'U7-U9 - 24 Equipes'!Zone_d_impression</vt:lpstr>
      <vt:lpstr>'U7-U9 - 8 Equipes'!Zone_d_impression</vt:lpstr>
      <vt:lpstr>'U9 - 10 Equipes'!Zone_d_impression</vt:lpstr>
      <vt:lpstr>'U9 - 12 Equipes'!Zone_d_impression</vt:lpstr>
      <vt:lpstr>'U9 - 16 Equipes'!Zone_d_impression</vt:lpstr>
      <vt:lpstr>'U9 - 8 Equipes'!Zone_d_impression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JEROME</dc:creator>
  <cp:lastModifiedBy>HERNANDEZ JEROME</cp:lastModifiedBy>
  <cp:lastPrinted>2020-11-05T21:00:05Z</cp:lastPrinted>
  <dcterms:created xsi:type="dcterms:W3CDTF">2018-10-29T21:37:36Z</dcterms:created>
  <dcterms:modified xsi:type="dcterms:W3CDTF">2021-12-07T08:52:23Z</dcterms:modified>
</cp:coreProperties>
</file>